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024"/>
  <workbookPr autoCompressPictures="0"/>
  <bookViews>
    <workbookView xWindow="4200" yWindow="1780" windowWidth="13800" windowHeight="8440" tabRatio="704" activeTab="1"/>
  </bookViews>
  <sheets>
    <sheet name="Title" sheetId="2" r:id="rId1"/>
    <sheet name="Calculator" sheetId="1" r:id="rId2"/>
    <sheet name="States" sheetId="6" r:id="rId3"/>
    <sheet name="State Details" sheetId="5" r:id="rId4"/>
    <sheet name="Fact Sheet" sheetId="4" r:id="rId5"/>
    <sheet name="Projections" sheetId="3" r:id="rId6"/>
    <sheet name="Old Tables" sheetId="7" state="hidden" r:id="rId7"/>
  </sheets>
  <definedNames>
    <definedName name="AllStateTables">'State Details'!$C$64:$J$162</definedName>
    <definedName name="CT">'State Details'!$C$66:$F$75</definedName>
    <definedName name="ETable1">Calculator!$A$17:$C$35</definedName>
    <definedName name="ETable2">Calculator!$E$17:$H$35</definedName>
    <definedName name="ETable3">Calculator!$J$17:$M$35</definedName>
    <definedName name="IA">'State Details'!$C$93:$J$100</definedName>
    <definedName name="IN">'State Details'!$C$80:$J$89</definedName>
    <definedName name="Inheritance">States!$G$30:$J$38</definedName>
    <definedName name="KY">'State Details'!$C$105:$J$117</definedName>
    <definedName name="MaxAnnualGift">'Fact Sheet'!$C$14</definedName>
    <definedName name="NE">'State Details'!$C$122:$J$125</definedName>
    <definedName name="NJ">'State Details'!$C$130:$J$135</definedName>
    <definedName name="OH">'State Details'!$C$140:$F$142</definedName>
    <definedName name="_xlnm.Print_Area" localSheetId="1">Calculator!$A$1:$M$55</definedName>
    <definedName name="_xlnm.Print_Area" localSheetId="4">'Fact Sheet'!$A$1:$E$37</definedName>
    <definedName name="_xlnm.Print_Area" localSheetId="5">Projections!$A$1:$F$51</definedName>
    <definedName name="_xlnm.Print_Area" localSheetId="3">'State Details'!$A$1:$N$62</definedName>
    <definedName name="_xlnm.Print_Area" localSheetId="0">Title!$A$1:$G$32</definedName>
    <definedName name="_xlnm.Print_Titles" localSheetId="3">'State Details'!$A:$C,'State Details'!$1:$4</definedName>
    <definedName name="States">'State Details'!$A$5:$Q$55</definedName>
    <definedName name="StateTaxes">States!$H$5:$J$25</definedName>
    <definedName name="StateTaxes2">States!#REF!</definedName>
    <definedName name="TN">'State Details'!$C$147:$F$150</definedName>
    <definedName name="WA">'State Details'!$C$155:$F$162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4" i="1" l="1"/>
  <c r="J43" i="1"/>
  <c r="J42" i="1"/>
  <c r="E43" i="1"/>
  <c r="E42" i="1"/>
  <c r="A43" i="1"/>
  <c r="A42" i="1"/>
  <c r="I120" i="5"/>
  <c r="G120" i="5"/>
  <c r="F120" i="5"/>
  <c r="I22" i="5"/>
  <c r="G9" i="1"/>
  <c r="G10" i="1"/>
  <c r="G8" i="1"/>
  <c r="B39" i="1"/>
  <c r="N39" i="1"/>
  <c r="E39" i="1"/>
  <c r="K38" i="1"/>
  <c r="G38" i="1"/>
  <c r="E8" i="1"/>
  <c r="A4" i="5"/>
  <c r="M25" i="5"/>
  <c r="R50" i="5"/>
  <c r="R38" i="5"/>
  <c r="R16" i="5"/>
  <c r="S12" i="5"/>
  <c r="S16" i="5"/>
  <c r="R12" i="5"/>
  <c r="J39" i="1"/>
  <c r="G6" i="1"/>
  <c r="E142" i="5"/>
  <c r="G131" i="5"/>
  <c r="I131" i="5"/>
  <c r="I19" i="5"/>
  <c r="M47" i="5"/>
  <c r="K47" i="5"/>
  <c r="K16" i="5"/>
  <c r="K12" i="5"/>
  <c r="K52" i="5"/>
  <c r="M43" i="5"/>
  <c r="M19" i="5"/>
  <c r="N43" i="5"/>
  <c r="K11" i="5"/>
  <c r="K13" i="5"/>
  <c r="K24" i="5"/>
  <c r="K26" i="5"/>
  <c r="K28" i="5"/>
  <c r="K37" i="5"/>
  <c r="K42" i="5"/>
  <c r="K44" i="5"/>
  <c r="R25" i="5"/>
  <c r="R35" i="5"/>
  <c r="R18" i="5"/>
  <c r="S18" i="5"/>
  <c r="T18" i="5"/>
  <c r="U18" i="5"/>
  <c r="V18" i="5"/>
  <c r="W18" i="5"/>
  <c r="K40" i="5"/>
  <c r="M35" i="5"/>
  <c r="M20" i="5"/>
  <c r="M32" i="5"/>
  <c r="A37" i="1"/>
  <c r="AA18" i="5"/>
  <c r="AB18" i="5"/>
  <c r="AC18" i="5"/>
  <c r="AD18" i="5"/>
  <c r="AE18" i="5"/>
  <c r="AF18" i="5"/>
  <c r="AG18" i="5"/>
  <c r="AH18" i="5"/>
  <c r="AI18" i="5"/>
  <c r="AJ18" i="5"/>
  <c r="AK18" i="5"/>
  <c r="AL18" i="5"/>
  <c r="X18" i="5"/>
  <c r="Y18" i="5"/>
  <c r="Z18" i="5"/>
  <c r="M22" i="5"/>
  <c r="K25" i="5"/>
  <c r="A8" i="1"/>
  <c r="K12" i="1"/>
  <c r="C38" i="1"/>
  <c r="A16" i="1"/>
  <c r="A41" i="1"/>
  <c r="K18" i="5"/>
  <c r="AM18" i="5"/>
  <c r="E5" i="3"/>
  <c r="J11" i="1"/>
  <c r="D5" i="3"/>
  <c r="F46" i="3"/>
  <c r="F47" i="3"/>
  <c r="F48" i="3"/>
  <c r="F49" i="3"/>
  <c r="F50" i="3"/>
  <c r="E4" i="3"/>
  <c r="D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J41" i="1"/>
  <c r="E41" i="1"/>
  <c r="M39" i="1"/>
  <c r="M40" i="1"/>
  <c r="H39" i="1"/>
  <c r="F15" i="3"/>
  <c r="C5" i="3"/>
  <c r="B38" i="1"/>
  <c r="F8" i="3"/>
  <c r="F9" i="3"/>
  <c r="F10" i="3"/>
  <c r="F11" i="3"/>
  <c r="F12" i="3"/>
  <c r="F13" i="3"/>
  <c r="F14" i="3"/>
  <c r="F7" i="3"/>
  <c r="C4"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E49" i="1"/>
  <c r="J12" i="1"/>
  <c r="A8" i="2"/>
  <c r="E8" i="3"/>
  <c r="F6" i="3"/>
  <c r="D46" i="3"/>
  <c r="D11" i="3"/>
  <c r="D6" i="3"/>
  <c r="D10" i="3"/>
  <c r="D8" i="3"/>
  <c r="E6" i="3"/>
  <c r="E49" i="3"/>
  <c r="E47" i="3"/>
  <c r="E45" i="3"/>
  <c r="E43" i="3"/>
  <c r="E41" i="3"/>
  <c r="E39" i="3"/>
  <c r="E37" i="3"/>
  <c r="E35" i="3"/>
  <c r="E33" i="3"/>
  <c r="E31" i="3"/>
  <c r="E29" i="3"/>
  <c r="E27" i="3"/>
  <c r="E25" i="3"/>
  <c r="E23" i="3"/>
  <c r="E21" i="3"/>
  <c r="E19" i="3"/>
  <c r="E17" i="3"/>
  <c r="E15" i="3"/>
  <c r="E13" i="3"/>
  <c r="E11" i="3"/>
  <c r="E9" i="3"/>
  <c r="E7" i="3"/>
  <c r="D9" i="3"/>
  <c r="D7" i="3"/>
  <c r="E50" i="3"/>
  <c r="E48" i="3"/>
  <c r="E46" i="3"/>
  <c r="E44" i="3"/>
  <c r="E42" i="3"/>
  <c r="E40" i="3"/>
  <c r="E38" i="3"/>
  <c r="E36" i="3"/>
  <c r="E34" i="3"/>
  <c r="E32" i="3"/>
  <c r="E30" i="3"/>
  <c r="E28" i="3"/>
  <c r="E26" i="3"/>
  <c r="E24" i="3"/>
  <c r="E22" i="3"/>
  <c r="E20" i="3"/>
  <c r="E18" i="3"/>
  <c r="E16" i="3"/>
  <c r="E14" i="3"/>
  <c r="E12" i="3"/>
  <c r="E10" i="3"/>
  <c r="D48" i="3"/>
  <c r="D50" i="3"/>
  <c r="D49" i="3"/>
  <c r="D47" i="3"/>
  <c r="D45" i="3"/>
  <c r="D43" i="3"/>
  <c r="D41" i="3"/>
  <c r="D39" i="3"/>
  <c r="D37" i="3"/>
  <c r="D35" i="3"/>
  <c r="D33" i="3"/>
  <c r="D31" i="3"/>
  <c r="D29" i="3"/>
  <c r="D27" i="3"/>
  <c r="D25" i="3"/>
  <c r="D23" i="3"/>
  <c r="D21" i="3"/>
  <c r="D19" i="3"/>
  <c r="D17" i="3"/>
  <c r="D15" i="3"/>
  <c r="D13" i="3"/>
  <c r="D44" i="3"/>
  <c r="D42" i="3"/>
  <c r="D40" i="3"/>
  <c r="D38" i="3"/>
  <c r="D36" i="3"/>
  <c r="D34" i="3"/>
  <c r="D32" i="3"/>
  <c r="D30" i="3"/>
  <c r="D28" i="3"/>
  <c r="D26" i="3"/>
  <c r="D24" i="3"/>
  <c r="D22" i="3"/>
  <c r="D20" i="3"/>
  <c r="D18" i="3"/>
  <c r="D16" i="3"/>
  <c r="D14" i="3"/>
  <c r="D12"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B40" i="1"/>
  <c r="G39" i="1"/>
  <c r="K39" i="1"/>
  <c r="B41" i="1"/>
  <c r="T38" i="5"/>
  <c r="K38" i="5"/>
  <c r="T35" i="5"/>
  <c r="K35" i="5"/>
  <c r="T50" i="5"/>
  <c r="K50" i="5"/>
  <c r="N25" i="5"/>
  <c r="S38" i="5"/>
  <c r="S50" i="5"/>
  <c r="T16" i="5"/>
  <c r="L16" i="5"/>
  <c r="U16" i="5"/>
  <c r="U12" i="5"/>
  <c r="T12" i="5"/>
  <c r="L12" i="5"/>
  <c r="N47" i="5"/>
  <c r="N42" i="1"/>
  <c r="L52" i="5"/>
  <c r="S47" i="5"/>
  <c r="L11" i="5"/>
  <c r="N19" i="5"/>
  <c r="L40" i="5"/>
  <c r="AO18" i="5"/>
  <c r="AP18" i="5"/>
  <c r="AQ18" i="5"/>
  <c r="AR18" i="5"/>
  <c r="AS18" i="5"/>
  <c r="AT18" i="5"/>
  <c r="AX18" i="5"/>
  <c r="AY18" i="5"/>
  <c r="AZ18" i="5"/>
  <c r="BA18" i="5"/>
  <c r="BB18" i="5"/>
  <c r="BC18" i="5"/>
  <c r="BD18" i="5"/>
  <c r="BE18" i="5"/>
  <c r="BF18" i="5"/>
  <c r="BG18" i="5"/>
  <c r="BH18" i="5"/>
  <c r="BI18" i="5"/>
  <c r="S35" i="5"/>
  <c r="S25" i="5"/>
  <c r="L44" i="5"/>
  <c r="L42" i="5"/>
  <c r="L37" i="5"/>
  <c r="L28" i="5"/>
  <c r="L26" i="5"/>
  <c r="L24" i="5"/>
  <c r="L13" i="5"/>
  <c r="N35" i="5"/>
  <c r="N32" i="5"/>
  <c r="N20" i="5"/>
  <c r="N22" i="5"/>
  <c r="K40" i="1"/>
  <c r="K41" i="1"/>
  <c r="G40" i="1"/>
  <c r="M18" i="1"/>
  <c r="M19" i="1"/>
  <c r="M20" i="1"/>
  <c r="M21" i="1"/>
  <c r="M22" i="1"/>
  <c r="M23" i="1"/>
  <c r="M24" i="1"/>
  <c r="M25" i="1"/>
  <c r="M26" i="1"/>
  <c r="M27" i="1"/>
  <c r="M28" i="1"/>
  <c r="M29" i="1"/>
  <c r="M30" i="1"/>
  <c r="M31" i="1"/>
  <c r="M32" i="1"/>
  <c r="M33" i="1"/>
  <c r="M34" i="1"/>
  <c r="M35" i="1"/>
  <c r="M17" i="1"/>
  <c r="U35" i="5"/>
  <c r="L35" i="5"/>
  <c r="U38" i="5"/>
  <c r="U50" i="5"/>
  <c r="L50" i="5"/>
  <c r="L38" i="5"/>
  <c r="AU18" i="5"/>
  <c r="AV18" i="5"/>
  <c r="AW18" i="5"/>
  <c r="L47" i="5"/>
  <c r="K18" i="1"/>
  <c r="K19" i="1"/>
  <c r="K20" i="1"/>
  <c r="K21" i="1"/>
  <c r="K22" i="1"/>
  <c r="K23" i="1"/>
  <c r="K24" i="1"/>
  <c r="K25" i="1"/>
  <c r="K26" i="1"/>
  <c r="K27" i="1"/>
  <c r="K28" i="1"/>
  <c r="K29" i="1"/>
  <c r="K30" i="1"/>
  <c r="K31" i="1"/>
  <c r="K32" i="1"/>
  <c r="K33" i="1"/>
  <c r="L25" i="5"/>
  <c r="K43" i="1"/>
  <c r="G43" i="1"/>
  <c r="G44" i="1"/>
  <c r="G41" i="1"/>
  <c r="BJ18" i="5"/>
  <c r="L18" i="5"/>
  <c r="K42" i="1"/>
  <c r="H43" i="1"/>
  <c r="M43" i="1"/>
  <c r="K34" i="1"/>
  <c r="K35" i="1"/>
  <c r="K44" i="1"/>
  <c r="M42" i="1"/>
  <c r="K45" i="1"/>
  <c r="O42" i="1"/>
  <c r="K46" i="1"/>
  <c r="M46" i="1"/>
  <c r="M44" i="1"/>
  <c r="M45" i="1"/>
  <c r="B43" i="1"/>
  <c r="C43" i="1"/>
  <c r="B42" i="1"/>
  <c r="C42" i="1"/>
  <c r="B44" i="1"/>
  <c r="C44" i="1"/>
  <c r="B45" i="1"/>
  <c r="B46" i="1"/>
  <c r="C45" i="1"/>
  <c r="C46" i="1"/>
  <c r="H44" i="1"/>
  <c r="P42" i="1"/>
  <c r="G42" i="1"/>
  <c r="H42" i="1"/>
  <c r="Q42" i="1"/>
  <c r="G45" i="1"/>
  <c r="H45" i="1"/>
  <c r="G46" i="1"/>
  <c r="H46" i="1"/>
</calcChain>
</file>

<file path=xl/comments1.xml><?xml version="1.0" encoding="utf-8"?>
<comments xmlns="http://schemas.openxmlformats.org/spreadsheetml/2006/main">
  <authors>
    <author>X044507</author>
  </authors>
  <commentList>
    <comment ref="H4" authorId="0">
      <text>
        <r>
          <rPr>
            <sz val="8"/>
            <color indexed="81"/>
            <rFont val="Tahoma"/>
            <family val="2"/>
          </rPr>
          <t>Bubble Help</t>
        </r>
      </text>
    </comment>
    <comment ref="M4" authorId="0">
      <text>
        <r>
          <rPr>
            <b/>
            <sz val="8"/>
            <color indexed="10"/>
            <rFont val="Tahoma"/>
            <family val="2"/>
          </rPr>
          <t>Logic Check.</t>
        </r>
        <r>
          <rPr>
            <sz val="8"/>
            <color indexed="81"/>
            <rFont val="Tahoma"/>
            <family val="2"/>
          </rPr>
          <t xml:space="preserve">  If ERROR is shown, cell E9 is unchecked (FALSE) and cell J9 is checked (TRUE).  To Correct, uncheck (FALSE) cell J9 or if marrried, check cell E9 (TRUE).</t>
        </r>
      </text>
    </comment>
    <comment ref="J5" authorId="0">
      <text>
        <r>
          <rPr>
            <b/>
            <sz val="8"/>
            <color indexed="10"/>
            <rFont val="Calibri"/>
            <family val="2"/>
            <scheme val="minor"/>
          </rPr>
          <t>HELP</t>
        </r>
        <r>
          <rPr>
            <b/>
            <sz val="8"/>
            <color indexed="81"/>
            <rFont val="Calibri"/>
            <family val="2"/>
            <scheme val="minor"/>
          </rPr>
          <t xml:space="preserve"> - Contact Robert Karl, CPA* at robert.karl@prudential.com 973-802-7338.
Entering Data</t>
        </r>
        <r>
          <rPr>
            <sz val="8"/>
            <color indexed="81"/>
            <rFont val="Calibri"/>
            <family val="2"/>
            <scheme val="minor"/>
          </rPr>
          <t xml:space="preserve"> - RED fields are variable input fields.
</t>
        </r>
        <r>
          <rPr>
            <b/>
            <sz val="8"/>
            <color indexed="81"/>
            <rFont val="Calibri"/>
            <family val="2"/>
            <scheme val="minor"/>
          </rPr>
          <t>To Print</t>
        </r>
        <r>
          <rPr>
            <sz val="8"/>
            <color indexed="81"/>
            <rFont val="Calibri"/>
            <family val="2"/>
            <scheme val="minor"/>
          </rPr>
          <t xml:space="preserve"> - click the Office Button (upper left corner of  screen); click Print; select printer; change default (Print What) to Entire Workbook; click OK.
</t>
        </r>
        <r>
          <rPr>
            <b/>
            <sz val="8"/>
            <color indexed="81"/>
            <rFont val="Calibri"/>
            <family val="2"/>
            <scheme val="minor"/>
          </rPr>
          <t>Fact Sheet</t>
        </r>
        <r>
          <rPr>
            <sz val="8"/>
            <color indexed="81"/>
            <rFont val="Calibri"/>
            <family val="2"/>
            <scheme val="minor"/>
          </rPr>
          <t xml:space="preserve"> - This sheet is designed for requesting a Gifting Analysis presentation from Prudential's Advanced Marketing group.
</t>
        </r>
        <r>
          <rPr>
            <b/>
            <sz val="8"/>
            <color indexed="81"/>
            <rFont val="Calibri"/>
            <family val="2"/>
            <scheme val="minor"/>
          </rPr>
          <t>Hiding a Sheet</t>
        </r>
        <r>
          <rPr>
            <sz val="8"/>
            <color indexed="81"/>
            <rFont val="Calibri"/>
            <family val="2"/>
            <scheme val="minor"/>
          </rPr>
          <t xml:space="preserve"> - The Fact Sheet and Projections Sheet are optional sheets.  If they are not useful, you can hide them.  To hide, right click on either the Fact Sheet or Projections Tabs and select Hide.  You can also Unhide them after hidden by doing the same and clicking on Unhide.
</t>
        </r>
        <r>
          <rPr>
            <b/>
            <sz val="8"/>
            <color indexed="81"/>
            <rFont val="Calibri"/>
            <family val="2"/>
            <scheme val="minor"/>
          </rPr>
          <t>*</t>
        </r>
        <r>
          <rPr>
            <sz val="8"/>
            <color indexed="81"/>
            <rFont val="Calibri"/>
            <family val="2"/>
            <scheme val="minor"/>
          </rPr>
          <t xml:space="preserve"> Does not represent Prudential in the practice of accountancy.</t>
        </r>
      </text>
    </comment>
    <comment ref="G6" authorId="0">
      <text>
        <r>
          <rPr>
            <sz val="8"/>
            <color indexed="81"/>
            <rFont val="Tahoma"/>
            <family val="2"/>
          </rPr>
          <t>This cell displays the state exclusion amount if there is a state estate tax.
NOTE:  The exclusion amount is generally not a reduction off the top, but rather a threshold for which there is no tax.  For larger estates in states that have decoupled, this exclusion may have no benefit, meaning the state estate tax is calculated on the gross taxable estate per the table on the following page.</t>
        </r>
      </text>
    </comment>
    <comment ref="J6" authorId="0">
      <text>
        <r>
          <rPr>
            <sz val="8"/>
            <color indexed="81"/>
            <rFont val="Tahoma"/>
            <family val="2"/>
          </rPr>
          <t>Enter the current year as either 2011 or 2012.</t>
        </r>
      </text>
    </comment>
    <comment ref="A7" authorId="0">
      <text>
        <r>
          <rPr>
            <sz val="8"/>
            <color indexed="81"/>
            <rFont val="Tahoma"/>
            <family val="2"/>
          </rPr>
          <t>When projecting the estate, project beyond year 2012.
Underwriting generally allows an estate projection of 10 years at 5%-6%.</t>
        </r>
      </text>
    </comment>
    <comment ref="G7" authorId="0">
      <text>
        <r>
          <rPr>
            <sz val="8"/>
            <color indexed="81"/>
            <rFont val="Tahoma"/>
            <family val="2"/>
          </rPr>
          <t xml:space="preserve">States generally allow a 100% exclusion for bequests to a surviving spouse.  This calculator is only looking at non spouse beneficiaries of which there can be 3 classes.  These classifications are a little general in nature.  All the states vary a bit.
</t>
        </r>
        <r>
          <rPr>
            <b/>
            <sz val="8"/>
            <color indexed="81"/>
            <rFont val="Tahoma"/>
            <family val="2"/>
          </rPr>
          <t xml:space="preserve">1 </t>
        </r>
        <r>
          <rPr>
            <sz val="8"/>
            <color indexed="81"/>
            <rFont val="Tahoma"/>
            <family val="2"/>
          </rPr>
          <t xml:space="preserve">- Children, Step-children, Grandchildren
</t>
        </r>
        <r>
          <rPr>
            <b/>
            <sz val="8"/>
            <color indexed="81"/>
            <rFont val="Tahoma"/>
            <family val="2"/>
          </rPr>
          <t>2</t>
        </r>
        <r>
          <rPr>
            <sz val="8"/>
            <color indexed="81"/>
            <rFont val="Tahoma"/>
            <family val="2"/>
          </rPr>
          <t xml:space="preserve"> - Siblings, Nieces, Nephews
</t>
        </r>
        <r>
          <rPr>
            <b/>
            <sz val="8"/>
            <color indexed="81"/>
            <rFont val="Tahoma"/>
            <family val="2"/>
          </rPr>
          <t>3</t>
        </r>
        <r>
          <rPr>
            <sz val="8"/>
            <color indexed="81"/>
            <rFont val="Tahoma"/>
            <family val="2"/>
          </rPr>
          <t xml:space="preserve"> - Others (non family)</t>
        </r>
      </text>
    </comment>
    <comment ref="H7" authorId="0">
      <text>
        <r>
          <rPr>
            <sz val="8"/>
            <color indexed="81"/>
            <rFont val="Tahoma"/>
            <family val="2"/>
          </rPr>
          <t>Generally,</t>
        </r>
        <r>
          <rPr>
            <b/>
            <sz val="8"/>
            <color indexed="81"/>
            <rFont val="Tahoma"/>
            <family val="2"/>
          </rPr>
          <t xml:space="preserve"> INPUT</t>
        </r>
        <r>
          <rPr>
            <sz val="8"/>
            <color indexed="81"/>
            <rFont val="Tahoma"/>
            <family val="2"/>
          </rPr>
          <t xml:space="preserve"> </t>
        </r>
        <r>
          <rPr>
            <b/>
            <sz val="8"/>
            <color indexed="10"/>
            <rFont val="Tahoma"/>
            <family val="2"/>
          </rPr>
          <t>1</t>
        </r>
        <r>
          <rPr>
            <sz val="8"/>
            <color indexed="81"/>
            <rFont val="Tahoma"/>
            <family val="2"/>
          </rPr>
          <t xml:space="preserve"> for distributions to lineal decedants (children, grandchildren, parents), </t>
        </r>
        <r>
          <rPr>
            <b/>
            <sz val="8"/>
            <color indexed="81"/>
            <rFont val="Tahoma"/>
            <family val="2"/>
          </rPr>
          <t>INPUT</t>
        </r>
        <r>
          <rPr>
            <sz val="8"/>
            <color indexed="81"/>
            <rFont val="Tahoma"/>
            <family val="2"/>
          </rPr>
          <t xml:space="preserve"> </t>
        </r>
        <r>
          <rPr>
            <b/>
            <sz val="8"/>
            <color indexed="10"/>
            <rFont val="Tahoma"/>
            <family val="2"/>
          </rPr>
          <t>2</t>
        </r>
        <r>
          <rPr>
            <sz val="8"/>
            <color indexed="81"/>
            <rFont val="Tahoma"/>
            <family val="2"/>
          </rPr>
          <t xml:space="preserve"> for distributions to siblings, brother/sister in-laws, </t>
        </r>
        <r>
          <rPr>
            <b/>
            <sz val="8"/>
            <color indexed="81"/>
            <rFont val="Tahoma"/>
            <family val="2"/>
          </rPr>
          <t>INPUT</t>
        </r>
        <r>
          <rPr>
            <sz val="8"/>
            <color indexed="81"/>
            <rFont val="Tahoma"/>
            <family val="2"/>
          </rPr>
          <t xml:space="preserve"> </t>
        </r>
        <r>
          <rPr>
            <b/>
            <sz val="8"/>
            <color indexed="10"/>
            <rFont val="Tahoma"/>
            <family val="2"/>
          </rPr>
          <t>3</t>
        </r>
        <r>
          <rPr>
            <sz val="8"/>
            <color indexed="81"/>
            <rFont val="Tahoma"/>
            <family val="2"/>
          </rPr>
          <t xml:space="preserve"> for all others.</t>
        </r>
      </text>
    </comment>
    <comment ref="J7" authorId="0">
      <text>
        <r>
          <rPr>
            <sz val="8"/>
            <color indexed="81"/>
            <rFont val="Tahoma"/>
            <family val="2"/>
          </rPr>
          <t xml:space="preserve">In 2012, update this field to the actual Applicable Exclusion Amount in 2012.
</t>
        </r>
      </text>
    </comment>
    <comment ref="J8" authorId="0">
      <text>
        <r>
          <rPr>
            <sz val="8"/>
            <color indexed="81"/>
            <rFont val="Tahoma"/>
            <family val="2"/>
          </rPr>
          <t xml:space="preserve">This field allows you to adjust the taxable state value.  This only impacts the state tax.
</t>
        </r>
        <r>
          <rPr>
            <b/>
            <sz val="8"/>
            <color indexed="81"/>
            <rFont val="Tahoma"/>
            <family val="2"/>
          </rPr>
          <t>Example</t>
        </r>
        <r>
          <rPr>
            <sz val="8"/>
            <color indexed="81"/>
            <rFont val="Tahoma"/>
            <family val="2"/>
          </rPr>
          <t xml:space="preserve"> - States with state estate tax may exclude life insurance owned within the estate.  If so, type in a negative value.</t>
        </r>
      </text>
    </comment>
    <comment ref="A9" authorId="0">
      <text>
        <r>
          <rPr>
            <sz val="8"/>
            <color indexed="81"/>
            <rFont val="Tahoma"/>
            <family val="2"/>
          </rPr>
          <t>The estate and gift tax law allows each resident (U.S. Citizen or Resident Non U.S. Citizen) an amount that can be distributed estate or gift tax-free.  The amount is the Applicable Exclusion Amount.  Currently in 2011, this amount is $5,000,000.</t>
        </r>
      </text>
    </comment>
    <comment ref="E9" authorId="0">
      <text>
        <r>
          <rPr>
            <sz val="8"/>
            <color indexed="81"/>
            <rFont val="Tahoma"/>
            <family val="2"/>
          </rPr>
          <t xml:space="preserve">If single, uncheck this field (False). (1 exclusion)
If married, with a Credit Shelter Trust (CST), generally check this field (True), especially with the new portability of the first spouse's Applicable Exclusion Amount. (2 exclusions)
If married, with a Will - All to Spouse (no CST), consider unchecking this field (False) to force only 1 Applicable Exclusion Amount, if you want to assume no continuation of the new portability rules. 
If married, deaths are assumed to occur in the same calender year with NO growth between deaths.
</t>
        </r>
      </text>
    </comment>
    <comment ref="K9" authorId="0">
      <text>
        <r>
          <rPr>
            <sz val="8"/>
            <color indexed="81"/>
            <rFont val="Tahoma"/>
            <family val="2"/>
          </rPr>
          <t xml:space="preserve">Uncheck (FALSE) is single.
For married couples, Check TRUE to allocate the state exclusion to a Family Trust or outright to children, with the excess federal exclusion allocated to a Marital QTIP trust, reducing the taxable estate by the state exclusion at the first death?
</t>
        </r>
        <r>
          <rPr>
            <b/>
            <sz val="8"/>
            <color indexed="81"/>
            <rFont val="Tahoma"/>
            <family val="2"/>
          </rPr>
          <t>Example:</t>
        </r>
        <r>
          <rPr>
            <sz val="8"/>
            <color indexed="81"/>
            <rFont val="Tahoma"/>
            <family val="2"/>
          </rPr>
          <t xml:space="preserve">  IL has a 2m exemption.  Assuming a 10m estate, IL taxable estate reduced by 2m at first death.  Second death only 8m taxable.
This only impacts state estate tax and not state inheritance taxes.</t>
        </r>
      </text>
    </comment>
    <comment ref="E11" authorId="0">
      <text>
        <r>
          <rPr>
            <b/>
            <sz val="8"/>
            <color indexed="81"/>
            <rFont val="Tahoma"/>
            <family val="2"/>
          </rPr>
          <t>In 2013</t>
        </r>
        <r>
          <rPr>
            <sz val="8"/>
            <color indexed="81"/>
            <rFont val="Tahoma"/>
            <family val="2"/>
          </rPr>
          <t xml:space="preserve">, model what you, the client, or the client's tax advisor "assume" the legislative revisions will be.
Either check (TRUE) to continue the 5,000,000 Applicable Exclusoin Amount with cost of living adjustments, or
Uncheck (FALSE) and enter an amount for 2013 in the following line.  3,500,000 is entered as The alternate default amount, but this amount is DISREGARDED if the checkbox is checked (TRUE) in line 11 above, to continue the 5,000,000 exclusion.
Check (True) if you want to model the continuation of the Republican Plan.
Uncheck (False) and use the default override amount of 3,500,000 to model the Democratic Caucus and President Obama Plan, or some other amount.
</t>
        </r>
      </text>
    </comment>
    <comment ref="E12" authorId="0">
      <text>
        <r>
          <rPr>
            <sz val="8"/>
            <color indexed="81"/>
            <rFont val="Tahoma"/>
            <family val="2"/>
          </rPr>
          <t>This field is disregarded, if the above field Continue $5m Current Exclusion Amount is checked (True).
If you want to consider an Alternate Applicable Exclusion Amount beginning in 2013, such as 3,500,000, uncheck (False) the above field and enter an Alternate Exclusion Amount here.</t>
        </r>
      </text>
    </comment>
    <comment ref="E13" authorId="0">
      <text>
        <r>
          <rPr>
            <sz val="8"/>
            <color indexed="81"/>
            <rFont val="Tahoma"/>
            <family val="2"/>
          </rPr>
          <t>The new law indexes the Applicable Exclusion Amount for inflation beginning in 2012, but this new law "sunsets" 12/31/2012 without further indexing for inflation.
It may be reasonable to assume that further legislation will index the Applicable Exclusion Amount for inflation.
To assume the Sunset, enter 0%
To assume a continued index for inflation, enter an inflation rate of 2% or 3%.</t>
        </r>
      </text>
    </comment>
    <comment ref="E14" authorId="0">
      <text>
        <r>
          <rPr>
            <sz val="8"/>
            <color indexed="81"/>
            <rFont val="Tahoma"/>
            <family val="2"/>
          </rPr>
          <t xml:space="preserve">Specify the Top Estate Tax rate that you want to assume will continue in the Hypothetical calculations after 2012.
Generally you want to enter 35% or 45%.  The </t>
        </r>
        <r>
          <rPr>
            <b/>
            <sz val="8"/>
            <color indexed="81"/>
            <rFont val="Tahoma"/>
            <family val="2"/>
          </rPr>
          <t>Maximum rate</t>
        </r>
        <r>
          <rPr>
            <sz val="8"/>
            <color indexed="81"/>
            <rFont val="Tahoma"/>
            <family val="2"/>
          </rPr>
          <t xml:space="preserve"> should be 60%, which would equal the sunset law.  If you enter 60%, you'll get a bubble (surtax) just like the sunset law.  If a rate above 60% is entered, the table will match the sunset table without going higher.
</t>
        </r>
        <r>
          <rPr>
            <b/>
            <sz val="8"/>
            <color indexed="81"/>
            <rFont val="Tahoma"/>
            <family val="2"/>
          </rPr>
          <t>Alternatively</t>
        </r>
        <r>
          <rPr>
            <sz val="8"/>
            <color indexed="81"/>
            <rFont val="Tahoma"/>
            <family val="2"/>
          </rPr>
          <t xml:space="preserve">, consider a higher rate, such as 45%, desired by the Democratic Caucus, President Obama and in line with the 2009 law.
Entering a rate no greater than 55% will eliminate the surtax bubble at 10,000,000.
</t>
        </r>
      </text>
    </comment>
    <comment ref="N39" authorId="0">
      <text>
        <r>
          <rPr>
            <sz val="8"/>
            <color indexed="81"/>
            <rFont val="Tahoma"/>
            <family val="2"/>
          </rPr>
          <t>Projected Limitation of years, if projected input years is less than 2013, the middle and right calculations are forced to 2013.</t>
        </r>
      </text>
    </comment>
    <comment ref="A40" authorId="0">
      <text>
        <r>
          <rPr>
            <sz val="8"/>
            <color indexed="81"/>
            <rFont val="Tahoma"/>
            <family val="2"/>
          </rPr>
          <t>If Married using 2 Applicable Exclusions is checked TRUE (cell E9), the Applicable Exclusion reduces the taxable estate.  If (cell E9) is not checked or single, taxable estate is not reduced.  Credit is used at 2nd death or death if single.</t>
        </r>
      </text>
    </comment>
    <comment ref="E40" authorId="0">
      <text>
        <r>
          <rPr>
            <sz val="8"/>
            <color indexed="81"/>
            <rFont val="Tahoma"/>
            <family val="2"/>
          </rPr>
          <t>If Married using 2 Applicable Exclusions is checked TRUE (cell E9), the Applicable Exclusion reduces the taxable estate.  If (cell E9) is not checked or single, taxable estate is not reduced.  Credit is used at 2nd death or death if single.</t>
        </r>
      </text>
    </comment>
    <comment ref="J40" authorId="0">
      <text>
        <r>
          <rPr>
            <sz val="8"/>
            <color indexed="81"/>
            <rFont val="Tahoma"/>
            <family val="2"/>
          </rPr>
          <t>If Married using 2 Applicable Exclusions is checked TRUE (cell E9), the Applicable Exclusion reduces the taxable estate.  If (cell E9) is not checked or single, taxable estate is not reduced.  Credit is used at 2nd death or death if single.</t>
        </r>
      </text>
    </comment>
    <comment ref="A41" authorId="0">
      <text>
        <r>
          <rPr>
            <sz val="8"/>
            <color indexed="81"/>
            <rFont val="Tahoma"/>
            <family val="2"/>
          </rPr>
          <t>If married, the gross estate is reduced by the above applicable exclusion.  If single, this amount is the same as the gross estate.</t>
        </r>
      </text>
    </comment>
    <comment ref="C41" authorId="0">
      <text>
        <r>
          <rPr>
            <sz val="8"/>
            <color indexed="81"/>
            <rFont val="Tahoma"/>
            <family val="2"/>
          </rPr>
          <t>% based on total estate.</t>
        </r>
      </text>
    </comment>
    <comment ref="A42" authorId="0">
      <text>
        <r>
          <rPr>
            <sz val="8"/>
            <color indexed="81"/>
            <rFont val="Tahoma"/>
            <family val="2"/>
          </rPr>
          <t>State Estate Tax calculated on the Gross Estate, if applicable.</t>
        </r>
      </text>
    </comment>
    <comment ref="E42" authorId="0">
      <text>
        <r>
          <rPr>
            <sz val="8"/>
            <color indexed="81"/>
            <rFont val="Tahoma"/>
            <family val="2"/>
          </rPr>
          <t>If Married, the State Estate Tax is calculated on the Gross Estate less 1 state exclusion, if State Exemption - First Death is checked (TRUE) above.  For Pickup states, 1,000,000 exclusion assumed if married and State Exemption - First Death is checked (TRUE) above. 
Assuming the SUNSET of the current law, the state tax is assumed to revert to a CREDIT.  All Pickup states that are coupled with the Federal State Tax Credit Table receive the credit, which reduces the federal share.  Some states that have their own table may also pickup the greater of their tax or the state death tax table.</t>
        </r>
      </text>
    </comment>
    <comment ref="J42" authorId="0">
      <text>
        <r>
          <rPr>
            <sz val="8"/>
            <color indexed="81"/>
            <rFont val="Tahoma"/>
            <family val="2"/>
          </rPr>
          <t>The State Estate Tax calculated on the Gross Estate, if applicable.
Hypthetically, the state tax is assumed to continue as a DEDUCTION.  All Pickup states that are coupled with the Federal law continue to receive ZERO.</t>
        </r>
      </text>
    </comment>
    <comment ref="N42" authorId="0">
      <text>
        <r>
          <rPr>
            <sz val="8"/>
            <color indexed="81"/>
            <rFont val="Tahoma"/>
            <family val="2"/>
          </rPr>
          <t xml:space="preserve">Projected Pickup state Credit amount.
</t>
        </r>
      </text>
    </comment>
    <comment ref="O42" authorId="0">
      <text>
        <r>
          <rPr>
            <sz val="8"/>
            <color indexed="81"/>
            <rFont val="Tahoma"/>
            <family val="2"/>
          </rPr>
          <t>Net federal tax before any state death tax credit.</t>
        </r>
      </text>
    </comment>
    <comment ref="P42" authorId="0">
      <text>
        <r>
          <rPr>
            <sz val="8"/>
            <color indexed="81"/>
            <rFont val="Tahoma"/>
            <family val="2"/>
          </rPr>
          <t>Net State Death Tax Credit, reduced by federal taxes limitation.</t>
        </r>
      </text>
    </comment>
    <comment ref="Q42" authorId="0">
      <text>
        <r>
          <rPr>
            <sz val="8"/>
            <color indexed="81"/>
            <rFont val="Tahoma"/>
            <family val="2"/>
          </rPr>
          <t>State Credit limitation (reduced by federal tax and Min of actual state tax (if no pickup) and state death tax credit.</t>
        </r>
      </text>
    </comment>
    <comment ref="A43" authorId="0">
      <text>
        <r>
          <rPr>
            <sz val="8"/>
            <color indexed="81"/>
            <rFont val="Tahoma"/>
            <family val="2"/>
          </rPr>
          <t>State Inheritance Tax calculated on the Gross Estate, if applicable.</t>
        </r>
      </text>
    </comment>
    <comment ref="E43" authorId="0">
      <text>
        <r>
          <rPr>
            <sz val="8"/>
            <color indexed="81"/>
            <rFont val="Tahoma"/>
            <family val="2"/>
          </rPr>
          <t>State Inheritance Tax calculated on the Gross Estate, if applicable.</t>
        </r>
      </text>
    </comment>
    <comment ref="J43" authorId="0">
      <text>
        <r>
          <rPr>
            <sz val="8"/>
            <color indexed="81"/>
            <rFont val="Tahoma"/>
            <family val="2"/>
          </rPr>
          <t>State Inheritance Tax calculated on the Gross Estate, if applicable.</t>
        </r>
      </text>
    </comment>
    <comment ref="A44" authorId="0">
      <text>
        <r>
          <rPr>
            <sz val="8"/>
            <color indexed="10"/>
            <rFont val="Tahoma"/>
            <family val="2"/>
          </rPr>
          <t>State taxes are deductible.</t>
        </r>
        <r>
          <rPr>
            <sz val="8"/>
            <color indexed="81"/>
            <rFont val="Tahoma"/>
            <family val="2"/>
          </rPr>
          <t xml:space="preserve">  The above federal table is used to calculate the federal tax for this scenario.  The tax on an estate above the $500,000 is a FLAT 35%.</t>
        </r>
      </text>
    </comment>
    <comment ref="E44" authorId="0">
      <text>
        <r>
          <rPr>
            <sz val="8"/>
            <color indexed="81"/>
            <rFont val="Tahoma"/>
            <family val="2"/>
          </rPr>
          <t>For this "Sunset" scenario only, state taxes are</t>
        </r>
        <r>
          <rPr>
            <sz val="8"/>
            <color indexed="10"/>
            <rFont val="Tahoma"/>
            <family val="2"/>
          </rPr>
          <t xml:space="preserve"> </t>
        </r>
        <r>
          <rPr>
            <b/>
            <sz val="8"/>
            <color indexed="10"/>
            <rFont val="Tahoma"/>
            <family val="2"/>
          </rPr>
          <t>NOT deductible</t>
        </r>
        <r>
          <rPr>
            <sz val="8"/>
            <color indexed="81"/>
            <rFont val="Tahoma"/>
            <family val="2"/>
          </rPr>
          <t>, rather an additional CREDIT, per the State Death Tax Table is available below.  See the States sheet for this table.</t>
        </r>
      </text>
    </comment>
    <comment ref="J44" authorId="0">
      <text>
        <r>
          <rPr>
            <b/>
            <sz val="8"/>
            <color indexed="10"/>
            <rFont val="Tahoma"/>
            <family val="2"/>
          </rPr>
          <t>State taxes are deductible.</t>
        </r>
        <r>
          <rPr>
            <sz val="8"/>
            <color indexed="81"/>
            <rFont val="Tahoma"/>
            <family val="2"/>
          </rPr>
          <t xml:space="preserve">  The above federal table is used to calculate the federal tax for this scenario.  Once the table rate reaches the Hypothetical rate entered above, it becomes a FLAT rate, except for rates entered above 55%, where the rate will also drop back down to a 55% maximum  at 17,184.000, to illustrate a hypothetical surtax bubble.</t>
        </r>
      </text>
    </comment>
    <comment ref="A45" authorId="0">
      <text>
        <r>
          <rPr>
            <sz val="8"/>
            <color indexed="81"/>
            <rFont val="Tahoma"/>
            <family val="2"/>
          </rPr>
          <t>This is limited to the federal estate tax or the equivalent of the tax on 1 applicable exclusion amount.</t>
        </r>
      </text>
    </comment>
    <comment ref="E45" authorId="0">
      <text>
        <r>
          <rPr>
            <sz val="8"/>
            <color indexed="81"/>
            <rFont val="Tahoma"/>
            <family val="2"/>
          </rPr>
          <t xml:space="preserve">For this Sunset Scenario only, this credit consists of 2 different credits.  The credit equivalent of $1,000,000 applicable exclusion amount (345,800), </t>
        </r>
        <r>
          <rPr>
            <b/>
            <sz val="8"/>
            <color indexed="10"/>
            <rFont val="Tahoma"/>
            <family val="2"/>
          </rPr>
          <t>PLUS</t>
        </r>
        <r>
          <rPr>
            <sz val="8"/>
            <color indexed="81"/>
            <rFont val="Tahoma"/>
            <family val="2"/>
          </rPr>
          <t xml:space="preserve"> the state death tax credit.  See the States sheet for this table.</t>
        </r>
      </text>
    </comment>
    <comment ref="J45" authorId="0">
      <text>
        <r>
          <rPr>
            <sz val="8"/>
            <color indexed="81"/>
            <rFont val="Tahoma"/>
            <family val="2"/>
          </rPr>
          <t>This is limited to the federal estate tax or the equivalent of the tax on 1 applicable exclusion amount.</t>
        </r>
      </text>
    </comment>
  </commentList>
</comments>
</file>

<file path=xl/comments2.xml><?xml version="1.0" encoding="utf-8"?>
<comments xmlns="http://schemas.openxmlformats.org/spreadsheetml/2006/main">
  <authors>
    <author>X044507</author>
  </authors>
  <commentList>
    <comment ref="R18" authorId="0">
      <text>
        <r>
          <rPr>
            <b/>
            <sz val="8"/>
            <color indexed="10"/>
            <rFont val="Tahoma"/>
            <family val="2"/>
          </rPr>
          <t>Illinois Interrelated Calculations</t>
        </r>
        <r>
          <rPr>
            <sz val="8"/>
            <color indexed="81"/>
            <rFont val="Tahoma"/>
            <family val="2"/>
          </rPr>
          <t xml:space="preserve"> - 
Cells R18...Z18 are 9 iterrelations using the State Death Tax Table.
A minimum threshold is also calculated using 9 iterrelations of the Federal Estate Tax Table.
The Minimum of these results is the IL tax.</t>
        </r>
      </text>
    </comment>
    <comment ref="R35" authorId="0">
      <text>
        <r>
          <rPr>
            <sz val="8"/>
            <color indexed="81"/>
            <rFont val="Tahoma"/>
            <family val="2"/>
          </rPr>
          <t>Calc per State Death Tax Credit Table.  BUT limited to Federal Tax assuming 675,000 exclusion.</t>
        </r>
      </text>
    </comment>
    <comment ref="T35" authorId="0">
      <text>
        <r>
          <rPr>
            <sz val="8"/>
            <color indexed="81"/>
            <rFont val="Tahoma"/>
            <family val="2"/>
          </rPr>
          <t xml:space="preserve">2001 Federal Tax with 675,000 Exclusion or a Credit or 220,550.
</t>
        </r>
      </text>
    </comment>
    <comment ref="U35" authorId="0">
      <text>
        <r>
          <rPr>
            <sz val="8"/>
            <color indexed="81"/>
            <rFont val="Tahoma"/>
            <family val="2"/>
          </rPr>
          <t>2001 Federal Tax with 675,000 Exclusion or a Credit or 220,550.</t>
        </r>
      </text>
    </comment>
    <comment ref="T38" authorId="0">
      <text>
        <r>
          <rPr>
            <sz val="8"/>
            <color indexed="81"/>
            <rFont val="Tahoma"/>
            <family val="2"/>
          </rPr>
          <t>Limited to Federal Tax in 2011 for the amount over the VT exclusion.  Example:  (Estate Value - 5,000,000) x 35%.</t>
        </r>
      </text>
    </comment>
    <comment ref="T50" authorId="0">
      <text>
        <r>
          <rPr>
            <sz val="8"/>
            <color indexed="81"/>
            <rFont val="Tahoma"/>
            <family val="2"/>
          </rPr>
          <t>Limited to Federal Tax in 2009 for the amount over the VT exclusion.  Example:  (Estate Value - 2,750,000) x 45%.</t>
        </r>
      </text>
    </comment>
  </commentList>
</comments>
</file>

<file path=xl/sharedStrings.xml><?xml version="1.0" encoding="utf-8"?>
<sst xmlns="http://schemas.openxmlformats.org/spreadsheetml/2006/main" count="636" uniqueCount="337">
  <si>
    <t>Important Notes about this Presentation</t>
  </si>
  <si>
    <t>Legislative Changes - The 2010 Tax Act</t>
  </si>
  <si>
    <t>Summary - Estate, Gift, and Generation Skipping Taxes</t>
  </si>
  <si>
    <t>■ The estate, gift, and generation skipping tax (GST) exclusions have been re-unified and increased to $5 million per person, $10 million per married couple, and indexed for cost of living in 2012;</t>
  </si>
  <si>
    <t>■ The applicable estate, gift and GST tax rates have been reduced to 35% through 2012;</t>
  </si>
  <si>
    <t>■ Carryover basis has been repealed, there is a full step up in basis for capital assets;</t>
  </si>
  <si>
    <t>Now What?  Are we in an additional two year waiting game?</t>
  </si>
  <si>
    <t>Can America continue to incur the increasing debt load that it has incurred of late, especially with the unfunded liabilities of existing entitlements?  Many believe that taxes will have to rise in the near future and estate tax will be a significant area of debate.</t>
  </si>
  <si>
    <t xml:space="preserve">Comparing estate tax to a national sales tax -  Some have lobbied for the elimination of the estate tax or death tax offsetting the loss of revenue by a value added tax, such as a national sales tax.  As a percentage of income, a sales tax is born much more heavily by the lower and middle income classes.  Also, an estate tax helps to spur charitable giving.  </t>
  </si>
  <si>
    <t>The continued uncertainty from the 2010 Tax Act sunset will lead many to again delay estate planning decisions until more permanency is know, especially with the significant increase in the applicable estate exclusion to $5,000,000 per person and the significant reduction in the estate tax rate to 35%.</t>
  </si>
  <si>
    <t>With the portability of the first to die's unused applicable exclusion amount, are Credit Shelter Trusts needed?  For smaller estates, maybe not so much, but funding a Credit Shelter Trust at the first death eliminates the growth from those funds in the taxable estate of the surviving spouse.</t>
  </si>
  <si>
    <t>If the estate tax does eventually go away, what about life insurance?</t>
  </si>
  <si>
    <t>Instructions</t>
  </si>
  <si>
    <t>This is a unique time in our history.  As we all try to recover from recent financial upheavals, you may have an eye to the future.  It’s easy to be concerned that your children may not have the same opportunities or "ability" to accumulate wealth as you’ve had.  As you decide your own strategy and determine how you’d like to help your children and grandchildren, is the continued pending re-distribution of wealth to non-family members especially worrisome?</t>
  </si>
  <si>
    <t>What will the hypothetical estate tax rate and applicable exclusion amount be in 2013?</t>
  </si>
  <si>
    <t>Though, with looming deficits, we have significant challenges ahead, Congress and President Obama have recently agreed and enacted legislative changes to lower the federal estate, gift and generation skipping taxes for 2 additional years.  These legislative changes potentially "pave the way" to reduced estate taxes in the future as the applicable exclusion amount is indexed for cost of living in 2012 and if married, the first spouse to die's applicable exclusion amount is "portable" to the surviving spouse.</t>
  </si>
  <si>
    <t>Current Year</t>
  </si>
  <si>
    <t>For the ultra wealthy, a married couple can gift $10,000,000 without gift tax in 2011 and 2012, sheltering the growth from potentially higher estate taxes after 2012.</t>
  </si>
  <si>
    <t>Purchasing a single or survivorship life insurance contract to cover estate taxes that "disappear" in the future only serves to provide more wealth to your family.  It's OK, just more for the ones you love.</t>
  </si>
  <si>
    <t>Page 1</t>
  </si>
  <si>
    <t>Page 2</t>
  </si>
  <si>
    <t>Page 3</t>
  </si>
  <si>
    <r>
      <rPr>
        <sz val="12"/>
        <color theme="1" tint="0.249977111117893"/>
        <rFont val="Calibri"/>
        <family val="2"/>
        <scheme val="minor"/>
      </rPr>
      <t>©</t>
    </r>
    <r>
      <rPr>
        <sz val="10"/>
        <color theme="1" tint="0.249977111117893"/>
        <rFont val="Calibri"/>
        <family val="2"/>
        <scheme val="minor"/>
      </rPr>
      <t xml:space="preserve"> 2011 Prudential Financial, Inc. and its related entities.</t>
    </r>
  </si>
  <si>
    <t>Prudential, the Prudential logo and the Rock symbol are service marks of</t>
  </si>
  <si>
    <t>Prudential Financial, Inc. and its related entities.</t>
  </si>
  <si>
    <t>Year</t>
  </si>
  <si>
    <t>Rate</t>
  </si>
  <si>
    <t xml:space="preserve"> Gross Estate</t>
  </si>
  <si>
    <t xml:space="preserve"> Year of Death:</t>
  </si>
  <si>
    <t xml:space="preserve"> App. Exclusion</t>
  </si>
  <si>
    <t>Infla %</t>
  </si>
  <si>
    <t>■ Portability of deceased spouse’s applicable exclusion amount to surviving spouse;</t>
  </si>
  <si>
    <t>■ Decedents in 2010 can opt for a $5,000,000 exclusion &amp; 35% rate or the 2010 carryover basis tax regime law.  GST taxes have been clarified to exist with a 0% rate;</t>
  </si>
  <si>
    <t>■ All provisions, except carryover basis, sunset 12/31/2012.  Beginning in 2013, estate and gift tax exclusions will drop to $1 million each, the estate and gift tax rates will increase to a maximum of 55%, there will be no indexing for cost of living, there will be no portability of the first to die's unused applicable exclusion, and the GST tax exclusion will adjust to approximately $1.4 million as indexed for inflation.</t>
  </si>
  <si>
    <t>Page 4</t>
  </si>
  <si>
    <t>``</t>
  </si>
  <si>
    <t># of Grandchildren?</t>
  </si>
  <si>
    <t># of Children's Spouses?</t>
  </si>
  <si>
    <t>Spouse's Assets %?</t>
  </si>
  <si>
    <t>%</t>
  </si>
  <si>
    <t>Maximize Gifts?</t>
  </si>
  <si>
    <t>#</t>
  </si>
  <si>
    <t xml:space="preserve">Notes: </t>
  </si>
  <si>
    <t># of Children?</t>
  </si>
  <si>
    <t>Consider Gifting?</t>
  </si>
  <si>
    <t>PRIOR Taxable Gifts?</t>
  </si>
  <si>
    <t>Underwriting Class?</t>
  </si>
  <si>
    <t>Pru Regional V.P.</t>
  </si>
  <si>
    <t>Client Name(s):</t>
  </si>
  <si>
    <r>
      <rPr>
        <b/>
        <sz val="11"/>
        <color theme="1" tint="0.249977111117893"/>
        <rFont val="Calibri"/>
        <family val="2"/>
        <scheme val="minor"/>
      </rPr>
      <t>REMEMBER</t>
    </r>
    <r>
      <rPr>
        <sz val="11"/>
        <color theme="1" tint="0.249977111117893"/>
        <rFont val="Calibri"/>
        <family val="2"/>
        <scheme val="minor"/>
      </rPr>
      <t>…wealth planning is more than tax planning.  How, to whom, do you want to distribute what?</t>
    </r>
  </si>
  <si>
    <t>Fact Sheet for Gifting Analysis with Flowcharts</t>
  </si>
  <si>
    <t>$</t>
  </si>
  <si>
    <t>BGA/Broker/Agent:                                                                                                                         E-mail/Telephone:</t>
  </si>
  <si>
    <t xml:space="preserve">Spouse's Age? </t>
  </si>
  <si>
    <t>Client's Age?</t>
  </si>
  <si>
    <t xml:space="preserve">Check if TRUE </t>
  </si>
  <si>
    <t>OPTIONS</t>
  </si>
  <si>
    <t>E-mail/Telephone:</t>
  </si>
  <si>
    <t>Desired % Inflation Rate?</t>
  </si>
  <si>
    <t>Growth Rate (after-tax)?</t>
  </si>
  <si>
    <t xml:space="preserve">Married, 2 Applicable Exclusions Used?  </t>
  </si>
  <si>
    <r>
      <t>Gifting</t>
    </r>
    <r>
      <rPr>
        <sz val="12"/>
        <rFont val="Calibri"/>
        <family val="2"/>
        <scheme val="minor"/>
      </rPr>
      <t xml:space="preserve"> - Check if Joint Gifting?</t>
    </r>
  </si>
  <si>
    <t>Check Option (1) or (2), or                                        Specify the Exclusion                                       Amount &amp; Top Rate in (3)</t>
  </si>
  <si>
    <t xml:space="preserve"> (1) $5m Applicable Exclusion and 35% Rate?</t>
  </si>
  <si>
    <t xml:space="preserve"> (2) Current Law Sunsets 12/31/2012?</t>
  </si>
  <si>
    <t>Married, using 2 Applicable Exclusions?</t>
  </si>
  <si>
    <t>Current App. Exclusion</t>
  </si>
  <si>
    <t xml:space="preserve"> Unified Credit</t>
  </si>
  <si>
    <t>Supporting Projections</t>
  </si>
  <si>
    <t>Ave %</t>
  </si>
  <si>
    <t>Applicable Exclusion Amount</t>
  </si>
  <si>
    <t>Projected Estate</t>
  </si>
  <si>
    <t>Hypothetical Assumptions beginning 2013?</t>
  </si>
  <si>
    <t>Alternate Exclusion</t>
  </si>
  <si>
    <t>Continue Exclusion</t>
  </si>
  <si>
    <t>This material is provided courtesy of The Prudential Insurance Company of America, a Prudential Financial company located in Newark, NJ.  Prudential Financial and its affiliates do not give tax or legal advice.  Be sure to consult with your legal and tax advisors about your personal situation.</t>
  </si>
  <si>
    <t>Gross Estate Today?</t>
  </si>
  <si>
    <t xml:space="preserve"> (3) Specify Alternate Exclusion Amount?</t>
  </si>
  <si>
    <t xml:space="preserve">       Specify Top Estate Tax Rate?</t>
  </si>
  <si>
    <t>Hypothetical Assumptions Beginning 2013?</t>
  </si>
  <si>
    <t>Index Applicable Exclusion Amount for Inflation?</t>
  </si>
  <si>
    <t>Specify Top Estate Tax Rate?</t>
  </si>
  <si>
    <t>Index Exclusion Amount for Inflation?</t>
  </si>
  <si>
    <t xml:space="preserve">The Prudential Insurance Company of America offers you this concept piece to help you understand how life insurance can be used to help provide funds for estate liquidity.  This material contains references to concepts that have legal, accounting and tax implications.  It is not intended as legal, accounting or tax advice.  Consult your own attorney and/or tax advisor for advice regarding your particular situation.  Accordingly, any information in this document cannot be used by any taxpayer for purposes of avoiding penalties under the Internal Revenue Code.  Individual circumstances will vary.  </t>
  </si>
  <si>
    <t>State</t>
  </si>
  <si>
    <t>Federal Pickup Only</t>
  </si>
  <si>
    <t>Estate Tax</t>
  </si>
  <si>
    <t>AL</t>
  </si>
  <si>
    <t>Alabama</t>
  </si>
  <si>
    <t>Pickup</t>
  </si>
  <si>
    <t>AK</t>
  </si>
  <si>
    <t>Alaska</t>
  </si>
  <si>
    <t>AZ</t>
  </si>
  <si>
    <t>Arizona</t>
  </si>
  <si>
    <t>AR</t>
  </si>
  <si>
    <t>Arkansas</t>
  </si>
  <si>
    <t>CA</t>
  </si>
  <si>
    <t>California</t>
  </si>
  <si>
    <t>CO</t>
  </si>
  <si>
    <t>Colorado</t>
  </si>
  <si>
    <t>CT</t>
  </si>
  <si>
    <t>Connecticut</t>
  </si>
  <si>
    <t>Y</t>
  </si>
  <si>
    <t>DE</t>
  </si>
  <si>
    <t>Delaware</t>
  </si>
  <si>
    <t>DC</t>
  </si>
  <si>
    <t>Dist. of Columbia</t>
  </si>
  <si>
    <t>FL</t>
  </si>
  <si>
    <t>Florida</t>
  </si>
  <si>
    <t>GA</t>
  </si>
  <si>
    <t>Georgia</t>
  </si>
  <si>
    <t>HI</t>
  </si>
  <si>
    <t>Hawaii</t>
  </si>
  <si>
    <t>ID</t>
  </si>
  <si>
    <t>Idaho</t>
  </si>
  <si>
    <t>IL</t>
  </si>
  <si>
    <t>Illinois</t>
  </si>
  <si>
    <t>IN</t>
  </si>
  <si>
    <t xml:space="preserve">Indiana </t>
  </si>
  <si>
    <t>State QTIP</t>
  </si>
  <si>
    <t>IA</t>
  </si>
  <si>
    <t>Iowa</t>
  </si>
  <si>
    <t>KS</t>
  </si>
  <si>
    <t>Kansas</t>
  </si>
  <si>
    <t>KY</t>
  </si>
  <si>
    <t>Kentucky</t>
  </si>
  <si>
    <t>LA</t>
  </si>
  <si>
    <t>Louisiana</t>
  </si>
  <si>
    <t>ME</t>
  </si>
  <si>
    <t>Maine</t>
  </si>
  <si>
    <t>MD</t>
  </si>
  <si>
    <t>Maryland</t>
  </si>
  <si>
    <t>MA</t>
  </si>
  <si>
    <t>Massachusetts</t>
  </si>
  <si>
    <t>MI</t>
  </si>
  <si>
    <t>Michigan</t>
  </si>
  <si>
    <t>MN</t>
  </si>
  <si>
    <t>Minnesota</t>
  </si>
  <si>
    <t>MS</t>
  </si>
  <si>
    <t>Mississippi</t>
  </si>
  <si>
    <t>MO</t>
  </si>
  <si>
    <t>Missouri</t>
  </si>
  <si>
    <t>MT</t>
  </si>
  <si>
    <t>Montana</t>
  </si>
  <si>
    <t>NE</t>
  </si>
  <si>
    <t>Nebraska</t>
  </si>
  <si>
    <t>NV</t>
  </si>
  <si>
    <t>Nevada</t>
  </si>
  <si>
    <t>NH</t>
  </si>
  <si>
    <t>New Hampshire</t>
  </si>
  <si>
    <t>NJ</t>
  </si>
  <si>
    <t>New Jersey</t>
  </si>
  <si>
    <t>NM</t>
  </si>
  <si>
    <t>New Mexico</t>
  </si>
  <si>
    <t>NY</t>
  </si>
  <si>
    <t>New York</t>
  </si>
  <si>
    <t>NC</t>
  </si>
  <si>
    <t>North Carolina</t>
  </si>
  <si>
    <t>ND</t>
  </si>
  <si>
    <t>North Dakota</t>
  </si>
  <si>
    <t>OH</t>
  </si>
  <si>
    <t>Ohio</t>
  </si>
  <si>
    <t>OK</t>
  </si>
  <si>
    <t>Oklahoma</t>
  </si>
  <si>
    <t>OR</t>
  </si>
  <si>
    <t>Oregon</t>
  </si>
  <si>
    <t>PA</t>
  </si>
  <si>
    <t>Pennslyvania</t>
  </si>
  <si>
    <t>RI</t>
  </si>
  <si>
    <t>Rhode Island</t>
  </si>
  <si>
    <t>SC</t>
  </si>
  <si>
    <t>South Carolina</t>
  </si>
  <si>
    <t>SD</t>
  </si>
  <si>
    <t>South Dakota</t>
  </si>
  <si>
    <t>TN</t>
  </si>
  <si>
    <t>Tennessee</t>
  </si>
  <si>
    <t>TX</t>
  </si>
  <si>
    <t>Texas</t>
  </si>
  <si>
    <t>UT</t>
  </si>
  <si>
    <t>Utah</t>
  </si>
  <si>
    <t>VT</t>
  </si>
  <si>
    <t>Vermont</t>
  </si>
  <si>
    <t>VA</t>
  </si>
  <si>
    <t>Virginia</t>
  </si>
  <si>
    <t>WA</t>
  </si>
  <si>
    <t>Washington</t>
  </si>
  <si>
    <t>WV</t>
  </si>
  <si>
    <t>West Virginia</t>
  </si>
  <si>
    <t>WI</t>
  </si>
  <si>
    <t>Wisconsin</t>
  </si>
  <si>
    <t>WY</t>
  </si>
  <si>
    <t>Wyoming</t>
  </si>
  <si>
    <t>State Exemption</t>
  </si>
  <si>
    <t>State Estate &amp; Inheritance Taxes</t>
  </si>
  <si>
    <r>
      <t xml:space="preserve">  -  Continue $5m </t>
    </r>
    <r>
      <rPr>
        <b/>
        <sz val="9"/>
        <color rgb="FFC00000"/>
        <rFont val="Gill Sans"/>
        <family val="2"/>
      </rPr>
      <t>Current</t>
    </r>
    <r>
      <rPr>
        <sz val="9"/>
        <color theme="1" tint="0.249977111117893"/>
        <rFont val="Gill Sans"/>
        <family val="2"/>
      </rPr>
      <t xml:space="preserve"> Exclusion Amount?</t>
    </r>
  </si>
  <si>
    <r>
      <t xml:space="preserve">  -  Use </t>
    </r>
    <r>
      <rPr>
        <b/>
        <sz val="9"/>
        <color rgb="FFC00000"/>
        <rFont val="Gill Sans"/>
        <family val="2"/>
      </rPr>
      <t>Alternate</t>
    </r>
    <r>
      <rPr>
        <sz val="9"/>
        <color theme="1" tint="0.249977111117893"/>
        <rFont val="Gill Sans"/>
        <family val="2"/>
      </rPr>
      <t xml:space="preserve"> Exclusion Amount?</t>
    </r>
  </si>
  <si>
    <r>
      <t xml:space="preserve">2013+ </t>
    </r>
    <r>
      <rPr>
        <b/>
        <sz val="9"/>
        <color theme="0"/>
        <rFont val="Gill Sans"/>
        <family val="2"/>
      </rPr>
      <t>"Actual"</t>
    </r>
    <r>
      <rPr>
        <sz val="9"/>
        <color rgb="FFFFFFFF"/>
        <rFont val="Gill Sans"/>
        <family val="2"/>
      </rPr>
      <t xml:space="preserve"> Estate Tax Table</t>
    </r>
  </si>
  <si>
    <r>
      <t xml:space="preserve">2013+ </t>
    </r>
    <r>
      <rPr>
        <b/>
        <sz val="9"/>
        <color theme="0"/>
        <rFont val="Gill Sans"/>
        <family val="2"/>
      </rPr>
      <t>"Hypothetical"</t>
    </r>
    <r>
      <rPr>
        <sz val="9"/>
        <color theme="0"/>
        <rFont val="Gill Sans"/>
        <family val="2"/>
      </rPr>
      <t xml:space="preserve"> Estate Tax Table</t>
    </r>
  </si>
  <si>
    <r>
      <t xml:space="preserve">2013+ </t>
    </r>
    <r>
      <rPr>
        <b/>
        <sz val="9"/>
        <color rgb="FFFFFFFF"/>
        <rFont val="Gill Sans"/>
        <family val="2"/>
      </rPr>
      <t>"Actual"</t>
    </r>
    <r>
      <rPr>
        <sz val="9"/>
        <color rgb="FFFFFFFF"/>
        <rFont val="Gill Sans"/>
        <family val="2"/>
      </rPr>
      <t xml:space="preserve"> Estate Tax Law</t>
    </r>
  </si>
  <si>
    <r>
      <t xml:space="preserve">2013+ </t>
    </r>
    <r>
      <rPr>
        <b/>
        <sz val="9"/>
        <color theme="0"/>
        <rFont val="Gill Sans"/>
        <family val="2"/>
      </rPr>
      <t>"Hypothetical"</t>
    </r>
    <r>
      <rPr>
        <sz val="9"/>
        <color theme="0"/>
        <rFont val="Gill Sans"/>
        <family val="2"/>
      </rPr>
      <t xml:space="preserve"> Estate Tax Law</t>
    </r>
  </si>
  <si>
    <t>STATE DEATH TAX CREDIT</t>
  </si>
  <si>
    <t>(ADJUSTED for $60,000 exclusion)</t>
  </si>
  <si>
    <t>Others</t>
  </si>
  <si>
    <t>Class 1</t>
  </si>
  <si>
    <t>Class 2</t>
  </si>
  <si>
    <t>If married, death of both spouses is assumed to be in the same year with no growth between deaths.  Deductible administrative expenses, probate, and debts are assumed to be zero.</t>
  </si>
  <si>
    <t xml:space="preserve"> Total Taxes</t>
  </si>
  <si>
    <t>Hypothetical Exclusion</t>
  </si>
  <si>
    <t>Estate &amp; Inheritance Taxes Today</t>
  </si>
  <si>
    <t>State information effective as of May 1, 2011</t>
  </si>
  <si>
    <t xml:space="preserve">States </t>
  </si>
  <si>
    <t>STATE INHERITANCE TAX TABLE</t>
  </si>
  <si>
    <t xml:space="preserve">     States Include:  IN, IA, ME, MA, MN, NJ, NY, NC, TN, VT.</t>
  </si>
  <si>
    <r>
      <rPr>
        <b/>
        <sz val="10"/>
        <color theme="1"/>
        <rFont val="Gill Sans"/>
        <family val="2"/>
      </rPr>
      <t>Zero Tax States</t>
    </r>
    <r>
      <rPr>
        <sz val="10"/>
        <color theme="1"/>
        <rFont val="Gill Sans"/>
        <family val="2"/>
      </rPr>
      <t xml:space="preserve"> - Some states were pickup states prior to 2005 and have chosen either not to legislatively "decouple" or have been unable to create an estate or inheritance tax.  With state budget deficits, many states may legislatively increase taxes in the future.</t>
    </r>
  </si>
  <si>
    <t>Estate &amp; Inheritance Tax Calculator</t>
  </si>
  <si>
    <t xml:space="preserve">State?  </t>
  </si>
  <si>
    <t>Value of Property Passing to Class:</t>
  </si>
  <si>
    <t>Class A Tax on Col. (1)</t>
  </si>
  <si>
    <t>Class A Rate on Excess</t>
  </si>
  <si>
    <t>Class B Tax on Col. (1)</t>
  </si>
  <si>
    <t>Class B Rate on Excess</t>
  </si>
  <si>
    <t>Class C Tax on Col. (1)</t>
  </si>
  <si>
    <t>Class C Rate on Excess</t>
  </si>
  <si>
    <t>Class 2 Tax on Col. (1)</t>
  </si>
  <si>
    <t>Class 2 Rate on Excess</t>
  </si>
  <si>
    <t>Class 3 Tax on Col. (1)</t>
  </si>
  <si>
    <t>Class 3 Rate on Excess</t>
  </si>
  <si>
    <t>and above</t>
  </si>
  <si>
    <t>Class 1 Tax on Col. (1)</t>
  </si>
  <si>
    <t>Class 1 Rate on Excess</t>
  </si>
  <si>
    <t>Class 3</t>
  </si>
  <si>
    <t>None</t>
  </si>
  <si>
    <t>ea</t>
  </si>
  <si>
    <t>(3) State QTIP allows the difference between the federal and state applicable exclusion amount to be set aside in a marital trust.</t>
  </si>
  <si>
    <t>Value of Share in Excess of Exemption</t>
  </si>
  <si>
    <t>and up</t>
  </si>
  <si>
    <t>At least</t>
  </si>
  <si>
    <t>But less than</t>
  </si>
  <si>
    <t>Amount of tax imposed</t>
  </si>
  <si>
    <t>Nebraska Inheritance Tax</t>
  </si>
  <si>
    <t>Kentucky Inheritance Tax</t>
  </si>
  <si>
    <t>Indiana Inheritance Tax</t>
  </si>
  <si>
    <t>------------</t>
  </si>
  <si>
    <t>Value of Transferred Property After Exemption</t>
  </si>
  <si>
    <t>Tax on Col. 1</t>
  </si>
  <si>
    <t>Rate on Excess</t>
  </si>
  <si>
    <r>
      <t xml:space="preserve">     States Include:  IN, IA, KY, </t>
    </r>
    <r>
      <rPr>
        <sz val="10"/>
        <rFont val="Gill Sans"/>
        <family val="2"/>
      </rPr>
      <t>MD, NE, NJ, PA, TN.</t>
    </r>
  </si>
  <si>
    <t xml:space="preserve">Estate Tax Calculator                                        </t>
  </si>
  <si>
    <t>with State Estate and Inheritance Taxes</t>
  </si>
  <si>
    <t>Iowa Inheritance Tax</t>
  </si>
  <si>
    <t>Tennessee Inheritance Tax</t>
  </si>
  <si>
    <t>Taxable Estate at Least </t>
  </si>
  <si>
    <t>But Less Than</t>
  </si>
  <si>
    <t>Initial Tax Amount</t>
  </si>
  <si>
    <t>Inheritance Tax</t>
  </si>
  <si>
    <t>Inheritance Class 1</t>
  </si>
  <si>
    <t>Inheritance Class 2</t>
  </si>
  <si>
    <t>Inheritance Class 3</t>
  </si>
  <si>
    <t>N/A - No Inheritance Tax</t>
  </si>
  <si>
    <t>Conneticut Estate Tax</t>
  </si>
  <si>
    <t>Subt Inher from estate</t>
  </si>
  <si>
    <t>Farm Land Exemption</t>
  </si>
  <si>
    <t>Siblings (Family)</t>
  </si>
  <si>
    <t>Washington Estate Tax</t>
  </si>
  <si>
    <t>Child, Parents, G.C.</t>
  </si>
  <si>
    <t>Siblings</t>
  </si>
  <si>
    <t>in table</t>
  </si>
  <si>
    <t>Aunt/Uncle/Niece/Nephew</t>
  </si>
  <si>
    <t>Tax Rate on Excess</t>
  </si>
  <si>
    <t>0193238-00003-00  Ed. 5/11 Exp. 5/13</t>
  </si>
  <si>
    <t>0193238</t>
  </si>
  <si>
    <t>New Jersey Inheritance Tax</t>
  </si>
  <si>
    <t>Subt Estate from Inherit.</t>
  </si>
  <si>
    <r>
      <rPr>
        <b/>
        <sz val="8"/>
        <rFont val="Gill Sans"/>
        <family val="2"/>
      </rPr>
      <t>Class A</t>
    </r>
    <r>
      <rPr>
        <sz val="8"/>
        <rFont val="Gill Sans"/>
        <family val="2"/>
      </rPr>
      <t xml:space="preserve"> Tax on Col. (1)</t>
    </r>
  </si>
  <si>
    <r>
      <rPr>
        <b/>
        <sz val="8"/>
        <rFont val="Gill Sans"/>
        <family val="2"/>
      </rPr>
      <t>Class A</t>
    </r>
    <r>
      <rPr>
        <sz val="8"/>
        <rFont val="Gill Sans"/>
        <family val="2"/>
      </rPr>
      <t xml:space="preserve"> Rate on Excess</t>
    </r>
  </si>
  <si>
    <r>
      <rPr>
        <b/>
        <sz val="8"/>
        <rFont val="Gill Sans"/>
        <family val="2"/>
      </rPr>
      <t>Class B</t>
    </r>
    <r>
      <rPr>
        <sz val="8"/>
        <rFont val="Gill Sans"/>
        <family val="2"/>
      </rPr>
      <t xml:space="preserve"> Tax on Col. (1)</t>
    </r>
  </si>
  <si>
    <r>
      <rPr>
        <b/>
        <sz val="8"/>
        <rFont val="Gill Sans"/>
        <family val="2"/>
      </rPr>
      <t>Class B</t>
    </r>
    <r>
      <rPr>
        <sz val="8"/>
        <rFont val="Gill Sans"/>
        <family val="2"/>
      </rPr>
      <t xml:space="preserve"> Rate on Excess</t>
    </r>
  </si>
  <si>
    <r>
      <rPr>
        <b/>
        <sz val="8"/>
        <rFont val="Gill Sans"/>
        <family val="2"/>
      </rPr>
      <t>Class C</t>
    </r>
    <r>
      <rPr>
        <sz val="8"/>
        <rFont val="Gill Sans"/>
        <family val="2"/>
      </rPr>
      <t xml:space="preserve"> Tax on Col. (1)</t>
    </r>
  </si>
  <si>
    <t>Gross Estate Value Today?</t>
  </si>
  <si>
    <t xml:space="preserve"> U.S. Estate Tax</t>
  </si>
  <si>
    <t xml:space="preserve"> U.S. Unified Credit</t>
  </si>
  <si>
    <r>
      <t xml:space="preserve">Oklahoma Estate Tax </t>
    </r>
    <r>
      <rPr>
        <b/>
        <sz val="10"/>
        <color rgb="FFFF0000"/>
        <rFont val="Gill Sans"/>
        <family val="2"/>
      </rPr>
      <t>(Repealed)</t>
    </r>
  </si>
  <si>
    <t>Nebraska Estate Tax (Repealed)</t>
  </si>
  <si>
    <t>State Inheritance Adj.+/-</t>
  </si>
  <si>
    <t>State Estate and Inheritance Taxes Details</t>
  </si>
  <si>
    <t>Ohio Estate Tax</t>
  </si>
  <si>
    <t>Gifts-Yes, Exclusion</t>
  </si>
  <si>
    <t>State Exemp-1st Death?</t>
  </si>
  <si>
    <r>
      <rPr>
        <b/>
        <sz val="10"/>
        <color theme="1"/>
        <rFont val="Gill Sans"/>
        <family val="2"/>
      </rPr>
      <t>State Estate Taxes</t>
    </r>
    <r>
      <rPr>
        <sz val="10"/>
        <color theme="1"/>
        <rFont val="Gill Sans"/>
        <family val="2"/>
      </rPr>
      <t xml:space="preserve"> - State estate and inheritance taxes are currently deductible against the federal estate tax.  Prior to 2001, states were allowed a credit against the federal tax, based on this State Death Tax Credit table.  In 2005, the credit was repealed in 2005 in favor of a deduction.  All states picked up this credit and most states had no separate estate tax structure of their own, so when the credit was repealed they lost all estate tax collections.  Since 2001, many states have "decoupled" from the federal law and continue to calculate their state estate tax based on this table.  </t>
    </r>
    <r>
      <rPr>
        <b/>
        <sz val="10"/>
        <color theme="1"/>
        <rFont val="Gill Sans"/>
        <family val="2"/>
      </rPr>
      <t>ASSUMPTION:  ALL ASSETS ARE ASSUMED TAXED IN THE RESIDENT STATE.</t>
    </r>
  </si>
  <si>
    <r>
      <rPr>
        <b/>
        <sz val="10"/>
        <color theme="1"/>
        <rFont val="Gill Sans"/>
        <family val="2"/>
      </rPr>
      <t>State QTIP Election</t>
    </r>
    <r>
      <rPr>
        <sz val="10"/>
        <color theme="1"/>
        <rFont val="Gill Sans"/>
        <family val="2"/>
      </rPr>
      <t xml:space="preserve"> - In states that have an estate tax and a lower applicable exclusion amount, state taxes will be triggered if fully using the federal applicable exclusion amount at first death.  To minimize this issue, some states have instituted a State QTIP election, which allows the funds to be transferred to a special marital trust that allows deferral of any state estate taxes at first death.  </t>
    </r>
    <r>
      <rPr>
        <b/>
        <sz val="10"/>
        <color theme="1"/>
        <rFont val="Gill Sans"/>
        <family val="2"/>
      </rPr>
      <t>ASSUMPTION:  CHECKING 2 APPLICABLE EXCLUSIONS, ASSUMES STATE QTIP OR PORTABILITY OF THE EXCLUSION.</t>
    </r>
  </si>
  <si>
    <t xml:space="preserve">     States Include:  AL, AK, AZ, AR, CA, CO, FL, GA, HI, ID, KS, LA, MI, MS, MO, MT, NV, NH, NM, ND, OK, SC, SD</t>
  </si>
  <si>
    <r>
      <rPr>
        <b/>
        <sz val="12"/>
        <color theme="6" tint="-0.499984740745262"/>
        <rFont val="Calibri"/>
        <family val="2"/>
        <scheme val="minor"/>
      </rPr>
      <t>Important</t>
    </r>
    <r>
      <rPr>
        <sz val="12"/>
        <color theme="6" tint="-0.499984740745262"/>
        <rFont val="Calibri"/>
        <family val="2"/>
        <scheme val="minor"/>
      </rPr>
      <t xml:space="preserve"> </t>
    </r>
    <r>
      <rPr>
        <b/>
        <sz val="12"/>
        <color theme="6" tint="-0.499984740745262"/>
        <rFont val="Calibri"/>
        <family val="2"/>
        <scheme val="minor"/>
      </rPr>
      <t>Tax Note</t>
    </r>
    <r>
      <rPr>
        <sz val="12"/>
        <color theme="6" tint="-0.499984740745262"/>
        <rFont val="Calibri"/>
        <family val="2"/>
        <scheme val="minor"/>
      </rPr>
      <t xml:space="preserve"> -</t>
    </r>
    <r>
      <rPr>
        <sz val="12"/>
        <color theme="1" tint="0.24994659260841701"/>
        <rFont val="Calibri"/>
        <family val="2"/>
        <scheme val="minor"/>
      </rPr>
      <t>This analysis bases estate tax on the current federal law AND an assumed variation that might exist in the future should Congress permanently reform the estate tax.  State estate and inheritance taxes, if applicable, are estimated, but do not necessarily take into account "all" state specific criteria, such as:  excluding real property located outside the resident state, excluding life insurance if non taxable, adjusting for miscellaneous exclusions per beneficiary, etc.  Some state inheritance laws allow small exemptions per beneficiary, which are not considered.</t>
    </r>
  </si>
  <si>
    <t>Inheritance Exclusion</t>
  </si>
  <si>
    <t>Inheritance Comments</t>
  </si>
  <si>
    <t>No Gifts, State Table</t>
  </si>
  <si>
    <t>State Table</t>
  </si>
  <si>
    <t>Custom Table</t>
  </si>
  <si>
    <t>Gifts-Yes, Custom Tbl</t>
  </si>
  <si>
    <t>Exclusion, Custom Tbl</t>
  </si>
  <si>
    <r>
      <t>State QTIP Election</t>
    </r>
    <r>
      <rPr>
        <vertAlign val="superscript"/>
        <sz val="8"/>
        <rFont val="Gill Sans"/>
        <family val="2"/>
      </rPr>
      <t xml:space="preserve"> (3)</t>
    </r>
  </si>
  <si>
    <t>(2) States that have DECOUPLED and pickup the Federal state death tax credit per an OLDER table.  Currently using rates in effect on 1/1/2001.</t>
  </si>
  <si>
    <t>(1) Pickup States are those that only pickup the federal credit.  In 2011, this amount is zero, but in future years, assuming the sunset of the current law, will be based on the State Death Tax Table.</t>
  </si>
  <si>
    <t xml:space="preserve"> Unified/State Credit</t>
  </si>
  <si>
    <r>
      <t xml:space="preserve">     Decoupled States Include:  CT, DE, DC, HI, IL, ME, </t>
    </r>
    <r>
      <rPr>
        <sz val="10"/>
        <rFont val="Gill Sans"/>
        <family val="2"/>
      </rPr>
      <t>MD</t>
    </r>
    <r>
      <rPr>
        <sz val="10"/>
        <color theme="1"/>
        <rFont val="Gill Sans"/>
        <family val="2"/>
      </rPr>
      <t>, MA, MN,</t>
    </r>
    <r>
      <rPr>
        <sz val="10"/>
        <rFont val="Gill Sans"/>
        <family val="2"/>
      </rPr>
      <t xml:space="preserve"> NJ,</t>
    </r>
  </si>
  <si>
    <t>Maximum Inheritence Tax Rates</t>
  </si>
  <si>
    <r>
      <rPr>
        <b/>
        <sz val="8"/>
        <rFont val="Gill Sans"/>
        <family val="2"/>
      </rPr>
      <t>Class C</t>
    </r>
    <r>
      <rPr>
        <sz val="8"/>
        <rFont val="Gill Sans"/>
        <family val="2"/>
      </rPr>
      <t xml:space="preserve"> Rate on Excess</t>
    </r>
  </si>
  <si>
    <t>All Beneficiaries</t>
  </si>
  <si>
    <t>(4) The estate tax acts as a sponse tax, to pick up the State Death Tax Credit LESS the inheritance tax [NJ, TN] or the inheritance is subtracted from the estate tax [MD].</t>
  </si>
  <si>
    <t>TN is coupled, so Hypothetical scerario assumd NO estate tax.</t>
  </si>
  <si>
    <r>
      <t xml:space="preserve">Life Insurance Exclusion - </t>
    </r>
    <r>
      <rPr>
        <sz val="10"/>
        <color theme="1"/>
        <rFont val="Gill Sans"/>
        <family val="2"/>
      </rPr>
      <t>States that have an inheritance tax generally allow an exemption for any life insurance owned within the estate which benefits family members.</t>
    </r>
  </si>
  <si>
    <t xml:space="preserve">                                              NY, NC, OR, RI, VT, WA.</t>
  </si>
  <si>
    <t xml:space="preserve">     States with Separate Estate Tax:  CT, OH, WA.</t>
  </si>
  <si>
    <t>Expiration:</t>
  </si>
  <si>
    <t>Calculations for State Death Tax Credit (Sunset Only)</t>
  </si>
  <si>
    <t>Projected Years?</t>
  </si>
  <si>
    <r>
      <rPr>
        <sz val="9"/>
        <rFont val="Gill Sans"/>
        <family val="2"/>
      </rPr>
      <t xml:space="preserve">Input Variables in </t>
    </r>
    <r>
      <rPr>
        <sz val="9"/>
        <color rgb="FFC00000"/>
        <rFont val="Gill Sans"/>
        <family val="2"/>
      </rPr>
      <t>RED</t>
    </r>
  </si>
  <si>
    <r>
      <t xml:space="preserve">See </t>
    </r>
    <r>
      <rPr>
        <sz val="8"/>
        <color rgb="FFC00000"/>
        <rFont val="Gill Sans"/>
        <family val="2"/>
      </rPr>
      <t>RED</t>
    </r>
    <r>
      <rPr>
        <sz val="8"/>
        <color theme="1" tint="0.24994659260841701"/>
        <rFont val="Gill Sans"/>
        <family val="2"/>
      </rPr>
      <t xml:space="preserve"> triangles for bubble help</t>
    </r>
  </si>
  <si>
    <t>All Others</t>
  </si>
  <si>
    <t>Exemptions built into custom table</t>
  </si>
  <si>
    <t xml:space="preserve">                            TX, VA, WV, WI, WY.</t>
  </si>
  <si>
    <r>
      <t xml:space="preserve">State Estate </t>
    </r>
    <r>
      <rPr>
        <b/>
        <sz val="8"/>
        <rFont val="Gill Sans"/>
        <family val="2"/>
      </rPr>
      <t>TODAY</t>
    </r>
  </si>
  <si>
    <r>
      <t xml:space="preserve">State Estate </t>
    </r>
    <r>
      <rPr>
        <b/>
        <sz val="8"/>
        <rFont val="Gill Sans"/>
        <family val="2"/>
      </rPr>
      <t>PROJECTED</t>
    </r>
  </si>
  <si>
    <r>
      <t xml:space="preserve">Inheritance </t>
    </r>
    <r>
      <rPr>
        <b/>
        <sz val="8"/>
        <rFont val="Gill Sans"/>
        <family val="2"/>
      </rPr>
      <t>TODAY</t>
    </r>
  </si>
  <si>
    <r>
      <t xml:space="preserve">Inheritance </t>
    </r>
    <r>
      <rPr>
        <b/>
        <sz val="8"/>
        <rFont val="Gill Sans"/>
        <family val="2"/>
      </rPr>
      <t>PROJECTED</t>
    </r>
  </si>
  <si>
    <t>Generally there is no state estate or inheritance taxes for transfers to a surviving spouse.  States with an inheritance tax generally exemption life insurance, which can be adjusted for.  Untaxed assets outside the resident state can be adjusted for.</t>
  </si>
  <si>
    <t>Children, Parents, G.C.</t>
  </si>
  <si>
    <t>Children, Parents, Spouse of Child</t>
  </si>
  <si>
    <r>
      <rPr>
        <b/>
        <sz val="10"/>
        <color theme="1"/>
        <rFont val="Gill Sans"/>
        <family val="2"/>
      </rPr>
      <t>State Inheritance Taxes</t>
    </r>
    <r>
      <rPr>
        <sz val="10"/>
        <color theme="1"/>
        <rFont val="Gill Sans"/>
        <family val="2"/>
      </rPr>
      <t xml:space="preserve"> - Some states have an additional tax which taxes all receipts by beneficiaries.  Generally, all states allow a unlimited deduction to a surviving spouse.  The rates generally vary depending on the beneficiary class.  Lineal decendents (children, grandchildren) are taxes at a lower rate than non lineal decendents, such as nieces, nephews, and others, etc.</t>
    </r>
  </si>
  <si>
    <t>NOTE:  Payment of inheritance taxes is the responsibility of each beneficiary, not the estate.  This calculator is limited to only "one" beneficiary class.  Distributions to multiple classes (i.e. 50% to children and 50% nephews/nieces) will result in a different inheritance tax.</t>
  </si>
  <si>
    <t>NOTE:  State Estate &amp; Inheritance Taxes effective through May 1, 2011.  See important notes on state estate and inheritance taxes on page 4.</t>
  </si>
  <si>
    <t>Questions:  Call Advanced Marketing.    Fax Fact Sheet to:  973-802-2600</t>
  </si>
  <si>
    <t>Children / GC</t>
  </si>
  <si>
    <t>Gifting Analysis does not include State Estate or Inheritance Taxes</t>
  </si>
  <si>
    <t>Estate Growth Rate? **</t>
  </si>
  <si>
    <t xml:space="preserve">** This growth rate is for illustrative purposes only and should not be deemed a representation of past or future results.  Actual investment results may be more or less than that shown.  This does not represent any specific product or service.  Results do not account for any fees, taxes or other potential expenses. </t>
  </si>
  <si>
    <t>* See important notes on state estate and inheritance taxes on page 4.</t>
  </si>
  <si>
    <t xml:space="preserve">Bene. Class?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</si>
</sst>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_);[Red]\(&quot;$&quot;#,##0\)"/>
    <numFmt numFmtId="165" formatCode="_(&quot;$&quot;* #,##0_);_(&quot;$&quot;* \(#,##0\);_(&quot;$&quot;* &quot;-&quot;_);_(@_)"/>
    <numFmt numFmtId="166" formatCode="_(&quot;$&quot;* #,##0.00_);_(&quot;$&quot;* \(#,##0.00\);_(&quot;$&quot;* &quot;-&quot;??_);_(@_)"/>
    <numFmt numFmtId="167" formatCode="_(* #,##0.00_);_(* \(#,##0.00\);_(* &quot;-&quot;??_);_(@_)"/>
    <numFmt numFmtId="168" formatCode="_(* #,##0_);_(* \(#,##0\);_(* &quot;-&quot;??_);_(@_)"/>
    <numFmt numFmtId="169" formatCode="0.0%"/>
    <numFmt numFmtId="170" formatCode="[$-409]mmm\-yy;@"/>
    <numFmt numFmtId="171" formatCode="0_);\(0\)"/>
  </numFmts>
  <fonts count="91" x14ac:knownFonts="1">
    <font>
      <sz val="10"/>
      <color theme="1"/>
      <name val="Comic Sans MS"/>
      <family val="2"/>
    </font>
    <font>
      <sz val="10"/>
      <color theme="1"/>
      <name val="Comic Sans MS"/>
      <family val="2"/>
    </font>
    <font>
      <sz val="10"/>
      <color theme="1"/>
      <name val="Calibri"/>
      <family val="2"/>
      <scheme val="minor"/>
    </font>
    <font>
      <sz val="10"/>
      <color theme="1" tint="0.249977111117893"/>
      <name val="Calibri"/>
      <family val="2"/>
      <scheme val="minor"/>
    </font>
    <font>
      <b/>
      <sz val="22"/>
      <color theme="6" tint="-0.499984740745262"/>
      <name val="Calibri"/>
      <family val="2"/>
      <scheme val="minor"/>
    </font>
    <font>
      <sz val="11"/>
      <color theme="2" tint="-0.749992370372631"/>
      <name val="Calibri"/>
      <family val="2"/>
      <scheme val="minor"/>
    </font>
    <font>
      <sz val="12"/>
      <color theme="1" tint="0.24994659260841701"/>
      <name val="Calibri"/>
      <family val="2"/>
      <scheme val="minor"/>
    </font>
    <font>
      <i/>
      <sz val="16"/>
      <color theme="6" tint="-0.499984740745262"/>
      <name val="Calibri"/>
      <family val="2"/>
      <scheme val="minor"/>
    </font>
    <font>
      <b/>
      <sz val="28"/>
      <color theme="6" tint="-0.499984740745262"/>
      <name val="Calibri"/>
      <family val="2"/>
      <scheme val="minor"/>
    </font>
    <font>
      <b/>
      <sz val="10"/>
      <color theme="1" tint="0.249977111117893"/>
      <name val="Calibri"/>
      <family val="2"/>
      <scheme val="minor"/>
    </font>
    <font>
      <b/>
      <sz val="12"/>
      <color theme="6" tint="-0.499984740745262"/>
      <name val="Calibri"/>
      <family val="2"/>
      <scheme val="minor"/>
    </font>
    <font>
      <sz val="12"/>
      <color theme="6" tint="-0.499984740745262"/>
      <name val="Calibri"/>
      <family val="2"/>
      <scheme val="minor"/>
    </font>
    <font>
      <sz val="12"/>
      <color theme="1" tint="0.249977111117893"/>
      <name val="Calibri"/>
      <family val="2"/>
      <scheme val="minor"/>
    </font>
    <font>
      <b/>
      <sz val="16"/>
      <color theme="4" tint="-0.249977111117893"/>
      <name val="Calibri"/>
      <family val="2"/>
      <scheme val="minor"/>
    </font>
    <font>
      <sz val="8"/>
      <color indexed="81"/>
      <name val="Calibri"/>
      <family val="2"/>
      <scheme val="minor"/>
    </font>
    <font>
      <sz val="8"/>
      <color indexed="81"/>
      <name val="Tahoma"/>
      <family val="2"/>
    </font>
    <font>
      <b/>
      <sz val="8"/>
      <color indexed="81"/>
      <name val="Tahoma"/>
      <family val="2"/>
    </font>
    <font>
      <b/>
      <sz val="8"/>
      <color indexed="81"/>
      <name val="Calibri"/>
      <family val="2"/>
      <scheme val="minor"/>
    </font>
    <font>
      <b/>
      <sz val="8"/>
      <color indexed="10"/>
      <name val="Calibri"/>
      <family val="2"/>
      <scheme val="minor"/>
    </font>
    <font>
      <sz val="9"/>
      <color theme="1" tint="0.249977111117893"/>
      <name val="Calibri"/>
      <family val="2"/>
      <scheme val="minor"/>
    </font>
    <font>
      <sz val="9"/>
      <name val="Calibri"/>
      <family val="2"/>
      <scheme val="minor"/>
    </font>
    <font>
      <sz val="10"/>
      <color theme="1"/>
      <name val="Calibri"/>
      <family val="2"/>
    </font>
    <font>
      <sz val="10"/>
      <name val="Calibri"/>
      <family val="2"/>
    </font>
    <font>
      <b/>
      <sz val="10"/>
      <color theme="1"/>
      <name val="Calibri"/>
      <family val="2"/>
    </font>
    <font>
      <b/>
      <sz val="16"/>
      <color theme="0"/>
      <name val="Calibri"/>
      <family val="2"/>
      <scheme val="minor"/>
    </font>
    <font>
      <sz val="8"/>
      <name val="Calibri"/>
      <family val="2"/>
      <scheme val="minor"/>
    </font>
    <font>
      <sz val="8"/>
      <color theme="0"/>
      <name val="Calibri"/>
      <family val="2"/>
      <scheme val="minor"/>
    </font>
    <font>
      <sz val="12"/>
      <color theme="6" tint="0.79998168889431442"/>
      <name val="Calibri"/>
      <family val="2"/>
      <scheme val="minor"/>
    </font>
    <font>
      <sz val="12"/>
      <name val="Calibri"/>
      <family val="2"/>
      <scheme val="minor"/>
    </font>
    <font>
      <b/>
      <sz val="12"/>
      <name val="Calibri"/>
      <family val="2"/>
      <scheme val="minor"/>
    </font>
    <font>
      <b/>
      <sz val="20"/>
      <name val="Calibri"/>
      <family val="2"/>
      <scheme val="minor"/>
    </font>
    <font>
      <u val="singleAccounting"/>
      <sz val="8"/>
      <name val="Calibri"/>
      <family val="2"/>
      <scheme val="minor"/>
    </font>
    <font>
      <sz val="11"/>
      <color theme="1" tint="0.249977111117893"/>
      <name val="Calibri"/>
      <family val="2"/>
      <scheme val="minor"/>
    </font>
    <font>
      <b/>
      <sz val="11"/>
      <color theme="1" tint="0.249977111117893"/>
      <name val="Calibri"/>
      <family val="2"/>
      <scheme val="minor"/>
    </font>
    <font>
      <b/>
      <sz val="14"/>
      <color theme="1"/>
      <name val="Calibri"/>
      <family val="2"/>
    </font>
    <font>
      <b/>
      <sz val="10"/>
      <color rgb="FFC00000"/>
      <name val="Calibri"/>
      <family val="2"/>
    </font>
    <font>
      <b/>
      <u/>
      <sz val="12"/>
      <name val="Calibri"/>
      <family val="2"/>
      <scheme val="minor"/>
    </font>
    <font>
      <sz val="10"/>
      <color theme="1"/>
      <name val="Gill Sans"/>
      <family val="2"/>
    </font>
    <font>
      <sz val="9"/>
      <color theme="1"/>
      <name val="Gill Sans"/>
      <family val="2"/>
    </font>
    <font>
      <b/>
      <sz val="10"/>
      <color theme="1"/>
      <name val="Gill Sans"/>
      <family val="2"/>
    </font>
    <font>
      <b/>
      <sz val="16"/>
      <color theme="0"/>
      <name val="Gill Sans"/>
      <family val="2"/>
    </font>
    <font>
      <sz val="11"/>
      <color theme="1"/>
      <name val="Gill Sans"/>
      <family val="2"/>
    </font>
    <font>
      <sz val="9"/>
      <color rgb="FFC00000"/>
      <name val="Gill Sans"/>
      <family val="2"/>
    </font>
    <font>
      <sz val="8"/>
      <color theme="1"/>
      <name val="Gill Sans"/>
      <family val="2"/>
    </font>
    <font>
      <sz val="9"/>
      <color theme="1" tint="0.249977111117893"/>
      <name val="Gill Sans"/>
      <family val="2"/>
    </font>
    <font>
      <b/>
      <sz val="9"/>
      <color rgb="FFFF0000"/>
      <name val="Gill Sans"/>
      <family val="2"/>
    </font>
    <font>
      <sz val="8"/>
      <color rgb="FFC00000"/>
      <name val="Gill Sans"/>
      <family val="2"/>
    </font>
    <font>
      <b/>
      <u/>
      <sz val="9"/>
      <name val="Gill Sans"/>
      <family val="2"/>
    </font>
    <font>
      <b/>
      <sz val="9"/>
      <color rgb="FFC00000"/>
      <name val="Gill Sans"/>
      <family val="2"/>
    </font>
    <font>
      <b/>
      <sz val="9"/>
      <color theme="0"/>
      <name val="Gill Sans"/>
      <family val="2"/>
    </font>
    <font>
      <sz val="9"/>
      <name val="Gill Sans"/>
      <family val="2"/>
    </font>
    <font>
      <sz val="9"/>
      <color rgb="FFFFFFFF"/>
      <name val="Gill Sans"/>
      <family val="2"/>
    </font>
    <font>
      <sz val="9"/>
      <color theme="0"/>
      <name val="Gill Sans"/>
      <family val="2"/>
    </font>
    <font>
      <b/>
      <sz val="9"/>
      <color rgb="FFFFFFFF"/>
      <name val="Gill Sans"/>
      <family val="2"/>
    </font>
    <font>
      <sz val="8"/>
      <color theme="1" tint="0.249977111117893"/>
      <name val="Gill Sans"/>
      <family val="2"/>
    </font>
    <font>
      <b/>
      <sz val="10"/>
      <color theme="1" tint="0.249977111117893"/>
      <name val="Gill Sans"/>
      <family val="2"/>
    </font>
    <font>
      <sz val="10"/>
      <color theme="1" tint="0.249977111117893"/>
      <name val="Gill Sans"/>
      <family val="2"/>
    </font>
    <font>
      <sz val="10"/>
      <color theme="1" tint="0.24994659260841701"/>
      <name val="Gill Sans"/>
      <family val="2"/>
    </font>
    <font>
      <b/>
      <sz val="8"/>
      <color indexed="10"/>
      <name val="Tahoma"/>
      <family val="2"/>
    </font>
    <font>
      <sz val="9"/>
      <color theme="1" tint="0.24994659260841701"/>
      <name val="Gill Sans"/>
      <family val="2"/>
    </font>
    <font>
      <b/>
      <sz val="10"/>
      <color theme="1" tint="0.24994659260841701"/>
      <name val="Gill Sans"/>
      <family val="2"/>
    </font>
    <font>
      <u/>
      <sz val="8"/>
      <color theme="1"/>
      <name val="Gill Sans"/>
      <family val="2"/>
    </font>
    <font>
      <sz val="10"/>
      <name val="Gill Sans"/>
      <family val="2"/>
    </font>
    <font>
      <sz val="8"/>
      <color rgb="FFFFFFFF"/>
      <name val="Gill Sans"/>
      <family val="2"/>
    </font>
    <font>
      <sz val="8"/>
      <color theme="0"/>
      <name val="Gill Sans"/>
      <family val="2"/>
    </font>
    <font>
      <b/>
      <sz val="16"/>
      <color theme="1"/>
      <name val="Gill Sans"/>
      <family val="2"/>
    </font>
    <font>
      <sz val="8"/>
      <name val="Gill Sans"/>
      <family val="2"/>
    </font>
    <font>
      <vertAlign val="superscript"/>
      <sz val="10"/>
      <name val="Gill Sans"/>
      <family val="2"/>
    </font>
    <font>
      <b/>
      <sz val="16"/>
      <color theme="6" tint="-0.499984740745262"/>
      <name val="Calibri"/>
      <family val="2"/>
      <scheme val="minor"/>
    </font>
    <font>
      <b/>
      <sz val="10"/>
      <color rgb="FFFF0000"/>
      <name val="Gill Sans"/>
      <family val="2"/>
    </font>
    <font>
      <b/>
      <sz val="16"/>
      <name val="Gill Sans"/>
      <family val="2"/>
    </font>
    <font>
      <sz val="7"/>
      <name val="Gill Sans"/>
      <family val="2"/>
    </font>
    <font>
      <b/>
      <sz val="8"/>
      <name val="Gill Sans"/>
      <family val="2"/>
    </font>
    <font>
      <b/>
      <sz val="10"/>
      <name val="Gill Sans"/>
      <family val="2"/>
    </font>
    <font>
      <sz val="10"/>
      <color rgb="FF000000"/>
      <name val="Gill Sans"/>
      <family val="2"/>
    </font>
    <font>
      <b/>
      <sz val="9"/>
      <color theme="1" tint="0.249977111117893"/>
      <name val="Gill Sans"/>
      <family val="2"/>
    </font>
    <font>
      <b/>
      <sz val="9"/>
      <name val="Gill Sans"/>
      <family val="2"/>
    </font>
    <font>
      <sz val="10"/>
      <color theme="1" tint="0.24994659260841701"/>
      <name val="Calibri"/>
      <family val="2"/>
    </font>
    <font>
      <sz val="8"/>
      <color theme="1" tint="0.24994659260841701"/>
      <name val="Calibri"/>
      <family val="2"/>
    </font>
    <font>
      <sz val="10"/>
      <color theme="1" tint="0.24994659260841701"/>
      <name val="Calibri"/>
      <family val="2"/>
      <scheme val="minor"/>
    </font>
    <font>
      <u/>
      <sz val="10"/>
      <color theme="1" tint="0.24994659260841701"/>
      <name val="Calibri"/>
      <family val="2"/>
    </font>
    <font>
      <vertAlign val="superscript"/>
      <sz val="8"/>
      <name val="Gill Sans"/>
      <family val="2"/>
    </font>
    <font>
      <sz val="8"/>
      <color theme="1" tint="0.24994659260841701"/>
      <name val="Gill Sans"/>
      <family val="2"/>
    </font>
    <font>
      <u/>
      <sz val="8"/>
      <color theme="1" tint="0.24994659260841701"/>
      <name val="Gill Sans"/>
      <family val="2"/>
    </font>
    <font>
      <sz val="8"/>
      <color rgb="FFFF0000"/>
      <name val="Gill Sans"/>
      <family val="2"/>
    </font>
    <font>
      <sz val="11"/>
      <color theme="1" tint="0.24994659260841701"/>
      <name val="Gill Sans"/>
      <family val="2"/>
    </font>
    <font>
      <sz val="7.5"/>
      <color theme="1" tint="0.24994659260841701"/>
      <name val="Gill Sans"/>
      <family val="2"/>
    </font>
    <font>
      <u/>
      <sz val="10"/>
      <color theme="1"/>
      <name val="Gill Sans"/>
      <family val="2"/>
    </font>
    <font>
      <b/>
      <sz val="10"/>
      <color theme="0"/>
      <name val="Calibri"/>
      <family val="2"/>
      <scheme val="minor"/>
    </font>
    <font>
      <sz val="8"/>
      <color indexed="10"/>
      <name val="Tahoma"/>
      <family val="2"/>
    </font>
    <font>
      <sz val="9"/>
      <color rgb="FFFF0000"/>
      <name val="Gill Sans"/>
      <family val="2"/>
    </font>
  </fonts>
  <fills count="11">
    <fill>
      <patternFill patternType="none"/>
    </fill>
    <fill>
      <patternFill patternType="gray125"/>
    </fill>
    <fill>
      <patternFill patternType="solid">
        <fgColor rgb="FFFFFFFF"/>
        <bgColor indexed="64"/>
      </patternFill>
    </fill>
    <fill>
      <patternFill patternType="solid">
        <fgColor theme="6" tint="0.79998168889431442"/>
        <bgColor indexed="64"/>
      </patternFill>
    </fill>
    <fill>
      <patternFill patternType="solid">
        <fgColor theme="6" tint="-0.499984740745262"/>
        <bgColor indexed="64"/>
      </patternFill>
    </fill>
    <fill>
      <patternFill patternType="solid">
        <fgColor rgb="FFFFFFCC"/>
        <bgColor indexed="64"/>
      </patternFill>
    </fill>
    <fill>
      <patternFill patternType="solid">
        <fgColor theme="6" tint="0.59996337778862885"/>
        <bgColor indexed="64"/>
      </patternFill>
    </fill>
    <fill>
      <patternFill patternType="solid">
        <fgColor rgb="FFC00000"/>
        <bgColor indexed="64"/>
      </patternFill>
    </fill>
    <fill>
      <patternFill patternType="solid">
        <fgColor theme="6" tint="0.39994506668294322"/>
        <bgColor indexed="64"/>
      </patternFill>
    </fill>
    <fill>
      <patternFill patternType="solid">
        <fgColor rgb="FFFFFF00"/>
        <bgColor indexed="64"/>
      </patternFill>
    </fill>
    <fill>
      <patternFill patternType="solid">
        <fgColor theme="6" tint="-0.24994659260841701"/>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n">
        <color theme="1" tint="0.24994659260841701"/>
      </right>
      <top/>
      <bottom style="thin">
        <color theme="1" tint="0.2499465926084170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C00000"/>
      </left>
      <right style="thin">
        <color rgb="FFC00000"/>
      </right>
      <top style="thin">
        <color rgb="FFC00000"/>
      </top>
      <bottom style="thin">
        <color rgb="FFC00000"/>
      </bottom>
      <diagonal/>
    </border>
    <border>
      <left style="thin">
        <color rgb="FFC00000"/>
      </left>
      <right style="thin">
        <color rgb="FFC00000"/>
      </right>
      <top style="thin">
        <color rgb="FFC00000"/>
      </top>
      <bottom/>
      <diagonal/>
    </border>
    <border>
      <left style="thin">
        <color rgb="FFC00000"/>
      </left>
      <right style="thin">
        <color rgb="FFC00000"/>
      </right>
      <top/>
      <bottom style="thin">
        <color rgb="FFC00000"/>
      </bottom>
      <diagonal/>
    </border>
    <border>
      <left style="thin">
        <color rgb="FFC00000"/>
      </left>
      <right/>
      <top/>
      <bottom/>
      <diagonal/>
    </border>
    <border>
      <left style="thin">
        <color auto="1"/>
      </left>
      <right style="thin">
        <color theme="0"/>
      </right>
      <top/>
      <bottom style="thin">
        <color auto="1"/>
      </bottom>
      <diagonal/>
    </border>
    <border>
      <left style="thin">
        <color theme="0"/>
      </left>
      <right style="thin">
        <color theme="0"/>
      </right>
      <top/>
      <bottom style="thin">
        <color auto="1"/>
      </bottom>
      <diagonal/>
    </border>
    <border>
      <left style="thin">
        <color theme="0"/>
      </left>
      <right style="thin">
        <color auto="1"/>
      </right>
      <top/>
      <bottom style="thin">
        <color auto="1"/>
      </bottom>
      <diagonal/>
    </border>
    <border>
      <left style="thin">
        <color auto="1"/>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auto="1"/>
      </right>
      <top style="thin">
        <color theme="0"/>
      </top>
      <bottom/>
      <diagonal/>
    </border>
    <border>
      <left/>
      <right/>
      <top/>
      <bottom style="thin">
        <color theme="0"/>
      </bottom>
      <diagonal/>
    </border>
    <border>
      <left/>
      <right style="thin">
        <color auto="1"/>
      </right>
      <top/>
      <bottom style="thin">
        <color theme="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6" tint="0.79998168889431442"/>
      </left>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auto="1"/>
      </right>
      <top style="thin">
        <color auto="1"/>
      </top>
      <bottom style="double">
        <color auto="1"/>
      </bottom>
      <diagonal/>
    </border>
    <border>
      <left style="thin">
        <color theme="0" tint="-0.24994659260841701"/>
      </left>
      <right style="thin">
        <color theme="0" tint="-0.24994659260841701"/>
      </right>
      <top style="thin">
        <color theme="0" tint="-0.24994659260841701"/>
      </top>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s>
  <cellStyleXfs count="7">
    <xf numFmtId="0" fontId="0" fillId="0" borderId="0"/>
    <xf numFmtId="167" fontId="1" fillId="0" borderId="0" applyFont="0" applyFill="0" applyBorder="0" applyAlignment="0" applyProtection="0"/>
    <xf numFmtId="9" fontId="1" fillId="0" borderId="0" applyFont="0" applyFill="0" applyBorder="0" applyAlignment="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166" fontId="1" fillId="0" borderId="0" applyFont="0" applyFill="0" applyBorder="0" applyAlignment="0" applyProtection="0"/>
  </cellStyleXfs>
  <cellXfs count="422">
    <xf numFmtId="0" fontId="0" fillId="0" borderId="0" xfId="0"/>
    <xf numFmtId="0" fontId="2" fillId="0" borderId="0" xfId="3"/>
    <xf numFmtId="0" fontId="5" fillId="0" borderId="0" xfId="3" applyFont="1" applyAlignment="1">
      <alignment vertical="top" wrapText="1"/>
    </xf>
    <xf numFmtId="0" fontId="3" fillId="0" borderId="0" xfId="3" applyFont="1" applyAlignment="1">
      <alignment horizontal="left"/>
    </xf>
    <xf numFmtId="0" fontId="3" fillId="0" borderId="0" xfId="3" applyFont="1" applyAlignment="1"/>
    <xf numFmtId="0" fontId="3" fillId="0" borderId="0" xfId="3" quotePrefix="1" applyFont="1" applyAlignment="1">
      <alignment vertical="top"/>
    </xf>
    <xf numFmtId="0" fontId="7" fillId="0" borderId="0" xfId="3" applyFont="1"/>
    <xf numFmtId="0" fontId="3" fillId="0" borderId="0" xfId="3" applyFont="1" applyAlignment="1">
      <alignment horizontal="left" vertical="top"/>
    </xf>
    <xf numFmtId="0" fontId="3" fillId="0" borderId="0" xfId="3" quotePrefix="1" applyFont="1" applyAlignment="1">
      <alignment horizontal="left" vertical="top"/>
    </xf>
    <xf numFmtId="0" fontId="12" fillId="0" borderId="0" xfId="3" applyFont="1"/>
    <xf numFmtId="0" fontId="9" fillId="0" borderId="15" xfId="3" applyFont="1" applyBorder="1" applyAlignment="1">
      <alignment vertical="top"/>
    </xf>
    <xf numFmtId="0" fontId="0" fillId="0" borderId="0" xfId="0" applyAlignment="1">
      <alignment vertical="top"/>
    </xf>
    <xf numFmtId="0" fontId="3" fillId="0" borderId="0" xfId="3" quotePrefix="1" applyFont="1" applyAlignment="1">
      <alignment horizontal="left"/>
    </xf>
    <xf numFmtId="0" fontId="3" fillId="0" borderId="0" xfId="3" quotePrefix="1" applyFont="1" applyAlignment="1">
      <alignment horizontal="right"/>
    </xf>
    <xf numFmtId="0" fontId="19" fillId="0" borderId="0" xfId="3" applyFont="1" applyAlignment="1">
      <alignment horizontal="right"/>
    </xf>
    <xf numFmtId="0" fontId="21" fillId="0" borderId="0" xfId="0" applyFont="1" applyAlignment="1">
      <alignment horizontal="center"/>
    </xf>
    <xf numFmtId="9" fontId="21" fillId="0" borderId="0" xfId="2" applyFont="1" applyAlignment="1">
      <alignment horizontal="center"/>
    </xf>
    <xf numFmtId="0" fontId="21" fillId="0" borderId="0" xfId="0" applyFont="1"/>
    <xf numFmtId="3" fontId="21" fillId="0" borderId="0" xfId="1" applyNumberFormat="1" applyFont="1" applyAlignment="1">
      <alignment horizontal="center"/>
    </xf>
    <xf numFmtId="3" fontId="22" fillId="0" borderId="0" xfId="0" applyNumberFormat="1" applyFont="1" applyBorder="1" applyAlignment="1">
      <alignment horizontal="center"/>
    </xf>
    <xf numFmtId="168" fontId="21" fillId="0" borderId="0" xfId="1" applyNumberFormat="1" applyFont="1" applyAlignment="1">
      <alignment horizontal="center"/>
    </xf>
    <xf numFmtId="0" fontId="21" fillId="0" borderId="0" xfId="0" applyFont="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center" vertical="center"/>
    </xf>
    <xf numFmtId="168" fontId="28" fillId="0" borderId="0" xfId="4" applyNumberFormat="1" applyFont="1" applyAlignment="1">
      <alignment horizontal="right"/>
    </xf>
    <xf numFmtId="0" fontId="26" fillId="0" borderId="0" xfId="0" applyFont="1" applyFill="1" applyBorder="1" applyAlignment="1" applyProtection="1">
      <alignment horizontal="right" vertical="center"/>
      <protection locked="0"/>
    </xf>
    <xf numFmtId="0" fontId="30" fillId="0" borderId="0" xfId="0" applyFont="1" applyBorder="1" applyAlignment="1"/>
    <xf numFmtId="0" fontId="29" fillId="0" borderId="0" xfId="0" applyFont="1" applyBorder="1" applyAlignment="1">
      <alignment horizontal="left"/>
    </xf>
    <xf numFmtId="0" fontId="28" fillId="0" borderId="0" xfId="0" applyFont="1"/>
    <xf numFmtId="0" fontId="30" fillId="0" borderId="0" xfId="0" applyFont="1" applyBorder="1" applyAlignment="1">
      <alignment horizontal="left"/>
    </xf>
    <xf numFmtId="0" fontId="28" fillId="0" borderId="0" xfId="0" applyFont="1" applyAlignment="1">
      <alignment vertical="center"/>
    </xf>
    <xf numFmtId="37" fontId="28" fillId="3" borderId="1" xfId="4" applyNumberFormat="1" applyFont="1" applyFill="1" applyBorder="1" applyAlignment="1" applyProtection="1">
      <alignment horizontal="center"/>
      <protection locked="0"/>
    </xf>
    <xf numFmtId="0" fontId="27" fillId="3" borderId="1" xfId="0" applyFont="1" applyFill="1" applyBorder="1" applyAlignment="1" applyProtection="1">
      <alignment horizontal="right" vertical="center"/>
      <protection locked="0"/>
    </xf>
    <xf numFmtId="9" fontId="28" fillId="3" borderId="1" xfId="2" applyFont="1" applyFill="1" applyBorder="1" applyAlignment="1" applyProtection="1">
      <alignment horizontal="right"/>
      <protection locked="0"/>
    </xf>
    <xf numFmtId="171" fontId="28" fillId="3" borderId="1" xfId="4" applyNumberFormat="1" applyFont="1" applyFill="1" applyBorder="1" applyAlignment="1" applyProtection="1">
      <alignment horizontal="right"/>
      <protection locked="0"/>
    </xf>
    <xf numFmtId="0" fontId="28" fillId="0" borderId="0" xfId="0" applyFont="1" applyBorder="1" applyAlignment="1"/>
    <xf numFmtId="0" fontId="25" fillId="0" borderId="0" xfId="0" applyFont="1" applyBorder="1" applyAlignment="1">
      <alignment horizontal="left" vertical="top"/>
    </xf>
    <xf numFmtId="0" fontId="19" fillId="0" borderId="0" xfId="3" quotePrefix="1" applyFont="1" applyAlignment="1">
      <alignment horizontal="left"/>
    </xf>
    <xf numFmtId="0" fontId="20" fillId="0" borderId="0" xfId="0" applyFont="1" applyAlignment="1">
      <alignment horizontal="right"/>
    </xf>
    <xf numFmtId="165" fontId="28" fillId="3" borderId="1" xfId="6" applyNumberFormat="1" applyFont="1" applyFill="1" applyBorder="1" applyAlignment="1" applyProtection="1">
      <alignment horizontal="left"/>
      <protection locked="0"/>
    </xf>
    <xf numFmtId="0" fontId="25" fillId="0" borderId="3" xfId="0" applyFont="1" applyBorder="1" applyAlignment="1">
      <alignment horizontal="left"/>
    </xf>
    <xf numFmtId="0" fontId="20" fillId="0" borderId="3" xfId="0" applyFont="1" applyBorder="1" applyAlignment="1">
      <alignment horizontal="left"/>
    </xf>
    <xf numFmtId="37" fontId="25" fillId="0" borderId="5" xfId="4" applyNumberFormat="1" applyFont="1" applyFill="1" applyBorder="1" applyAlignment="1" applyProtection="1">
      <alignment horizontal="left" vertical="top"/>
      <protection locked="0"/>
    </xf>
    <xf numFmtId="0" fontId="29" fillId="0" borderId="0" xfId="0" applyFont="1" applyAlignment="1"/>
    <xf numFmtId="0" fontId="28" fillId="0" borderId="0" xfId="0" applyFont="1" applyBorder="1" applyProtection="1">
      <protection locked="0"/>
    </xf>
    <xf numFmtId="0" fontId="34" fillId="0" borderId="0" xfId="0" applyFont="1" applyAlignment="1">
      <alignment horizontal="left" vertical="top"/>
    </xf>
    <xf numFmtId="168" fontId="35" fillId="3" borderId="1" xfId="1" applyNumberFormat="1" applyFont="1" applyFill="1" applyBorder="1" applyAlignment="1">
      <alignment horizontal="center" vertical="center"/>
    </xf>
    <xf numFmtId="0" fontId="36" fillId="0" borderId="0" xfId="0" applyFont="1"/>
    <xf numFmtId="0" fontId="37" fillId="0" borderId="0" xfId="0" applyFont="1"/>
    <xf numFmtId="0" fontId="38" fillId="0" borderId="0" xfId="0" applyFont="1"/>
    <xf numFmtId="0" fontId="42" fillId="0" borderId="0" xfId="0" applyFont="1" applyAlignment="1">
      <alignment horizontal="right"/>
    </xf>
    <xf numFmtId="0" fontId="44" fillId="0" borderId="0" xfId="0" applyFont="1"/>
    <xf numFmtId="3" fontId="42" fillId="0" borderId="1" xfId="0" applyNumberFormat="1" applyFont="1" applyBorder="1" applyAlignment="1" applyProtection="1">
      <alignment horizontal="center"/>
      <protection locked="0"/>
    </xf>
    <xf numFmtId="169" fontId="42" fillId="0" borderId="1" xfId="2" applyNumberFormat="1" applyFont="1" applyBorder="1" applyAlignment="1" applyProtection="1">
      <alignment horizontal="center"/>
      <protection locked="0"/>
    </xf>
    <xf numFmtId="0" fontId="42" fillId="0" borderId="1" xfId="0" applyFont="1" applyBorder="1" applyAlignment="1" applyProtection="1">
      <alignment horizontal="center"/>
      <protection locked="0"/>
    </xf>
    <xf numFmtId="0" fontId="44" fillId="0" borderId="0" xfId="0" applyFont="1" applyAlignment="1">
      <alignment vertical="center"/>
    </xf>
    <xf numFmtId="0" fontId="38" fillId="0" borderId="0" xfId="0" applyFont="1" applyAlignment="1">
      <alignment vertical="center"/>
    </xf>
    <xf numFmtId="3" fontId="44" fillId="0" borderId="0" xfId="0" applyNumberFormat="1" applyFont="1" applyBorder="1" applyAlignment="1">
      <alignment horizontal="center" vertical="center"/>
    </xf>
    <xf numFmtId="0" fontId="44" fillId="0" borderId="6" xfId="0" applyFont="1" applyBorder="1" applyAlignment="1">
      <alignment vertical="center"/>
    </xf>
    <xf numFmtId="0" fontId="46" fillId="0" borderId="1" xfId="0" applyFont="1" applyFill="1" applyBorder="1" applyAlignment="1" applyProtection="1">
      <alignment horizontal="right" vertical="center"/>
      <protection locked="0"/>
    </xf>
    <xf numFmtId="0" fontId="47" fillId="0" borderId="0" xfId="0" applyFont="1" applyAlignment="1">
      <alignment vertical="center"/>
    </xf>
    <xf numFmtId="0" fontId="44" fillId="0" borderId="0" xfId="0" quotePrefix="1" applyFont="1"/>
    <xf numFmtId="3" fontId="49" fillId="7" borderId="23" xfId="0" applyNumberFormat="1" applyFont="1" applyFill="1" applyBorder="1" applyAlignment="1" applyProtection="1">
      <alignment horizontal="center" vertical="center"/>
    </xf>
    <xf numFmtId="9" fontId="42" fillId="0" borderId="1" xfId="2" applyFont="1" applyBorder="1" applyAlignment="1" applyProtection="1">
      <alignment horizontal="center"/>
      <protection locked="0"/>
    </xf>
    <xf numFmtId="0" fontId="50" fillId="0" borderId="0" xfId="0" applyFont="1"/>
    <xf numFmtId="0" fontId="38" fillId="0" borderId="0" xfId="0" applyFont="1" applyAlignment="1">
      <alignment horizontal="center"/>
    </xf>
    <xf numFmtId="0" fontId="38" fillId="0" borderId="0" xfId="0" applyFont="1" applyAlignment="1">
      <alignment horizontal="left"/>
    </xf>
    <xf numFmtId="0" fontId="44" fillId="0" borderId="0" xfId="0" applyFont="1" applyAlignment="1">
      <alignment vertical="top" wrapText="1"/>
    </xf>
    <xf numFmtId="0" fontId="44" fillId="2" borderId="5" xfId="0" applyFont="1" applyFill="1" applyBorder="1" applyAlignment="1">
      <alignment horizontal="center" wrapText="1"/>
    </xf>
    <xf numFmtId="0" fontId="44" fillId="2" borderId="0" xfId="0" applyFont="1" applyFill="1" applyBorder="1" applyAlignment="1">
      <alignment horizontal="center" wrapText="1"/>
    </xf>
    <xf numFmtId="9" fontId="44" fillId="2" borderId="6" xfId="0" applyNumberFormat="1" applyFont="1" applyFill="1" applyBorder="1" applyAlignment="1">
      <alignment horizontal="center" wrapText="1"/>
    </xf>
    <xf numFmtId="0" fontId="44" fillId="2" borderId="5" xfId="0" applyFont="1" applyFill="1" applyBorder="1" applyAlignment="1">
      <alignment horizontal="right" wrapText="1"/>
    </xf>
    <xf numFmtId="0" fontId="44" fillId="2" borderId="0" xfId="0" applyFont="1" applyFill="1" applyBorder="1" applyAlignment="1">
      <alignment horizontal="right" wrapText="1"/>
    </xf>
    <xf numFmtId="0" fontId="44" fillId="3" borderId="0" xfId="0" applyFont="1" applyFill="1" applyBorder="1" applyAlignment="1">
      <alignment horizontal="right" wrapText="1"/>
    </xf>
    <xf numFmtId="9" fontId="44" fillId="3" borderId="0" xfId="0" applyNumberFormat="1" applyFont="1" applyFill="1" applyBorder="1" applyAlignment="1">
      <alignment horizontal="right" wrapText="1"/>
    </xf>
    <xf numFmtId="9" fontId="44" fillId="3" borderId="6" xfId="0" applyNumberFormat="1" applyFont="1" applyFill="1" applyBorder="1" applyAlignment="1">
      <alignment horizontal="center" wrapText="1"/>
    </xf>
    <xf numFmtId="3" fontId="44" fillId="2" borderId="5" xfId="0" applyNumberFormat="1" applyFont="1" applyFill="1" applyBorder="1" applyAlignment="1">
      <alignment horizontal="center" wrapText="1"/>
    </xf>
    <xf numFmtId="3" fontId="44" fillId="2" borderId="0" xfId="0" applyNumberFormat="1" applyFont="1" applyFill="1" applyBorder="1" applyAlignment="1">
      <alignment horizontal="center" wrapText="1"/>
    </xf>
    <xf numFmtId="3" fontId="44" fillId="2" borderId="5" xfId="0" applyNumberFormat="1" applyFont="1" applyFill="1" applyBorder="1" applyAlignment="1">
      <alignment horizontal="right" wrapText="1"/>
    </xf>
    <xf numFmtId="3" fontId="44" fillId="2" borderId="0" xfId="0" applyNumberFormat="1" applyFont="1" applyFill="1" applyBorder="1" applyAlignment="1">
      <alignment horizontal="right" wrapText="1"/>
    </xf>
    <xf numFmtId="3" fontId="44" fillId="3" borderId="0" xfId="0" applyNumberFormat="1" applyFont="1" applyFill="1" applyBorder="1" applyAlignment="1">
      <alignment horizontal="right" wrapText="1"/>
    </xf>
    <xf numFmtId="3" fontId="44" fillId="2" borderId="7" xfId="0" applyNumberFormat="1" applyFont="1" applyFill="1" applyBorder="1" applyAlignment="1">
      <alignment horizontal="right" wrapText="1"/>
    </xf>
    <xf numFmtId="168" fontId="44" fillId="2" borderId="8" xfId="1" applyNumberFormat="1" applyFont="1" applyFill="1" applyBorder="1" applyAlignment="1">
      <alignment horizontal="right" wrapText="1"/>
    </xf>
    <xf numFmtId="9" fontId="44" fillId="2" borderId="9" xfId="0" applyNumberFormat="1" applyFont="1" applyFill="1" applyBorder="1" applyAlignment="1">
      <alignment horizontal="center" wrapText="1"/>
    </xf>
    <xf numFmtId="3" fontId="44" fillId="2" borderId="8" xfId="0" applyNumberFormat="1" applyFont="1" applyFill="1" applyBorder="1" applyAlignment="1">
      <alignment horizontal="right" wrapText="1"/>
    </xf>
    <xf numFmtId="3" fontId="44" fillId="3" borderId="8" xfId="0" applyNumberFormat="1" applyFont="1" applyFill="1" applyBorder="1" applyAlignment="1">
      <alignment horizontal="right" wrapText="1"/>
    </xf>
    <xf numFmtId="9" fontId="44" fillId="3" borderId="8" xfId="0" applyNumberFormat="1" applyFont="1" applyFill="1" applyBorder="1" applyAlignment="1">
      <alignment horizontal="right" wrapText="1"/>
    </xf>
    <xf numFmtId="9" fontId="44" fillId="3" borderId="9" xfId="0" applyNumberFormat="1" applyFont="1" applyFill="1" applyBorder="1" applyAlignment="1">
      <alignment horizontal="center" wrapText="1"/>
    </xf>
    <xf numFmtId="0" fontId="37" fillId="0" borderId="0" xfId="0" applyFont="1" applyAlignment="1">
      <alignment vertical="center"/>
    </xf>
    <xf numFmtId="0" fontId="44" fillId="0" borderId="5" xfId="0" applyFont="1" applyBorder="1"/>
    <xf numFmtId="3" fontId="44" fillId="0" borderId="1" xfId="0" applyNumberFormat="1" applyFont="1" applyBorder="1" applyAlignment="1">
      <alignment horizontal="center"/>
    </xf>
    <xf numFmtId="0" fontId="44" fillId="0" borderId="6" xfId="0" applyFont="1" applyBorder="1"/>
    <xf numFmtId="0" fontId="44" fillId="0" borderId="0" xfId="0" applyFont="1" applyBorder="1"/>
    <xf numFmtId="169" fontId="54" fillId="0" borderId="6" xfId="0" applyNumberFormat="1" applyFont="1" applyBorder="1" applyAlignment="1">
      <alignment horizontal="center"/>
    </xf>
    <xf numFmtId="3" fontId="44" fillId="0" borderId="0" xfId="0" applyNumberFormat="1" applyFont="1" applyBorder="1" applyAlignment="1">
      <alignment horizontal="center"/>
    </xf>
    <xf numFmtId="3" fontId="44" fillId="0" borderId="0" xfId="1" applyNumberFormat="1" applyFont="1" applyBorder="1" applyAlignment="1">
      <alignment horizontal="center"/>
    </xf>
    <xf numFmtId="0" fontId="44" fillId="0" borderId="7" xfId="0" applyFont="1" applyBorder="1"/>
    <xf numFmtId="0" fontId="44" fillId="0" borderId="8" xfId="0" applyFont="1" applyBorder="1"/>
    <xf numFmtId="0" fontId="44" fillId="0" borderId="9" xfId="0" applyFont="1" applyBorder="1"/>
    <xf numFmtId="0" fontId="55" fillId="0" borderId="0" xfId="0" applyFont="1"/>
    <xf numFmtId="0" fontId="56" fillId="0" borderId="0" xfId="0" applyFont="1"/>
    <xf numFmtId="0" fontId="37" fillId="0" borderId="0" xfId="0" quotePrefix="1" applyFont="1"/>
    <xf numFmtId="0" fontId="37" fillId="0" borderId="0" xfId="0" applyFont="1" applyAlignment="1">
      <alignment vertical="top"/>
    </xf>
    <xf numFmtId="0" fontId="37" fillId="0" borderId="2" xfId="0" applyFont="1" applyBorder="1" applyAlignment="1">
      <alignment horizontal="center"/>
    </xf>
    <xf numFmtId="0" fontId="37" fillId="0" borderId="5" xfId="0" applyFont="1" applyBorder="1" applyAlignment="1">
      <alignment horizontal="center"/>
    </xf>
    <xf numFmtId="9" fontId="37" fillId="0" borderId="3" xfId="2" applyFont="1" applyBorder="1" applyAlignment="1">
      <alignment horizontal="center"/>
    </xf>
    <xf numFmtId="9" fontId="37" fillId="0" borderId="4" xfId="2" applyFont="1" applyBorder="1" applyAlignment="1">
      <alignment horizontal="center"/>
    </xf>
    <xf numFmtId="9" fontId="37" fillId="0" borderId="0" xfId="2" applyFont="1" applyBorder="1" applyAlignment="1">
      <alignment horizontal="center"/>
    </xf>
    <xf numFmtId="9" fontId="37" fillId="0" borderId="6" xfId="2" applyFont="1" applyBorder="1" applyAlignment="1">
      <alignment horizontal="center"/>
    </xf>
    <xf numFmtId="0" fontId="44" fillId="0" borderId="0" xfId="3" quotePrefix="1" applyFont="1" applyAlignment="1">
      <alignment horizontal="left" vertical="top"/>
    </xf>
    <xf numFmtId="3" fontId="42" fillId="0" borderId="1" xfId="0" applyNumberFormat="1" applyFont="1" applyFill="1" applyBorder="1" applyAlignment="1" applyProtection="1">
      <alignment horizontal="center"/>
      <protection locked="0"/>
    </xf>
    <xf numFmtId="0" fontId="37" fillId="0" borderId="0" xfId="0" applyFont="1" applyAlignment="1">
      <alignment horizontal="left" vertical="top" wrapText="1"/>
    </xf>
    <xf numFmtId="3" fontId="59" fillId="3" borderId="0" xfId="0" applyNumberFormat="1" applyFont="1" applyFill="1" applyBorder="1" applyAlignment="1">
      <alignment horizontal="center"/>
    </xf>
    <xf numFmtId="0" fontId="59" fillId="0" borderId="0" xfId="0" applyFont="1"/>
    <xf numFmtId="170" fontId="59" fillId="0" borderId="0" xfId="0" applyNumberFormat="1" applyFont="1" applyAlignment="1">
      <alignment horizontal="left"/>
    </xf>
    <xf numFmtId="0" fontId="42" fillId="0" borderId="0" xfId="0" applyFont="1" applyAlignment="1">
      <alignment horizontal="center"/>
    </xf>
    <xf numFmtId="0" fontId="48" fillId="0" borderId="1" xfId="0" applyFont="1" applyFill="1" applyBorder="1" applyAlignment="1" applyProtection="1">
      <alignment horizontal="center"/>
      <protection locked="0"/>
    </xf>
    <xf numFmtId="168" fontId="43" fillId="0" borderId="0" xfId="1" applyNumberFormat="1" applyFont="1" applyAlignment="1">
      <alignment horizontal="center"/>
    </xf>
    <xf numFmtId="9" fontId="43" fillId="0" borderId="0" xfId="2" applyFont="1" applyAlignment="1">
      <alignment horizontal="center"/>
    </xf>
    <xf numFmtId="168" fontId="39" fillId="0" borderId="0" xfId="1" applyNumberFormat="1" applyFont="1"/>
    <xf numFmtId="9" fontId="43" fillId="0" borderId="0" xfId="0" applyNumberFormat="1" applyFont="1" applyBorder="1" applyAlignment="1">
      <alignment horizontal="center" wrapText="1"/>
    </xf>
    <xf numFmtId="9" fontId="43" fillId="0" borderId="6" xfId="0" applyNumberFormat="1" applyFont="1" applyBorder="1" applyAlignment="1">
      <alignment horizontal="center" wrapText="1"/>
    </xf>
    <xf numFmtId="9" fontId="43" fillId="0" borderId="8" xfId="0" applyNumberFormat="1" applyFont="1" applyBorder="1" applyAlignment="1">
      <alignment horizontal="center" wrapText="1"/>
    </xf>
    <xf numFmtId="0" fontId="37" fillId="0" borderId="0" xfId="0" applyFont="1" applyFill="1" applyAlignment="1">
      <alignment horizontal="left"/>
    </xf>
    <xf numFmtId="0" fontId="37" fillId="0" borderId="0" xfId="0" applyFont="1" applyFill="1" applyAlignment="1">
      <alignment horizontal="left" vertical="top" wrapText="1"/>
    </xf>
    <xf numFmtId="9" fontId="43" fillId="0" borderId="9" xfId="0" applyNumberFormat="1" applyFont="1" applyBorder="1" applyAlignment="1">
      <alignment horizontal="center" wrapText="1"/>
    </xf>
    <xf numFmtId="3" fontId="43" fillId="0" borderId="0" xfId="0" applyNumberFormat="1" applyFont="1" applyBorder="1" applyAlignment="1">
      <alignment horizontal="center"/>
    </xf>
    <xf numFmtId="169" fontId="43" fillId="0" borderId="6" xfId="2" applyNumberFormat="1" applyFont="1" applyBorder="1" applyAlignment="1">
      <alignment horizontal="center"/>
    </xf>
    <xf numFmtId="3" fontId="43" fillId="0" borderId="8" xfId="0" applyNumberFormat="1" applyFont="1" applyBorder="1" applyAlignment="1">
      <alignment horizontal="center"/>
    </xf>
    <xf numFmtId="169" fontId="43" fillId="0" borderId="9" xfId="2" applyNumberFormat="1" applyFont="1" applyBorder="1" applyAlignment="1">
      <alignment horizontal="center"/>
    </xf>
    <xf numFmtId="10" fontId="43" fillId="0" borderId="0" xfId="0" applyNumberFormat="1" applyFont="1" applyBorder="1" applyAlignment="1">
      <alignment horizontal="center" wrapText="1"/>
    </xf>
    <xf numFmtId="169" fontId="37" fillId="0" borderId="0" xfId="2" applyNumberFormat="1" applyFont="1" applyBorder="1" applyAlignment="1">
      <alignment horizontal="center"/>
    </xf>
    <xf numFmtId="0" fontId="43" fillId="3" borderId="4" xfId="0" applyFont="1" applyFill="1" applyBorder="1" applyAlignment="1">
      <alignment horizontal="center" wrapText="1"/>
    </xf>
    <xf numFmtId="0" fontId="43" fillId="3" borderId="2" xfId="0" applyFont="1" applyFill="1" applyBorder="1" applyAlignment="1">
      <alignment horizontal="left" wrapText="1"/>
    </xf>
    <xf numFmtId="0" fontId="43" fillId="3" borderId="3" xfId="0" applyFont="1" applyFill="1" applyBorder="1" applyAlignment="1">
      <alignment horizontal="left" wrapText="1"/>
    </xf>
    <xf numFmtId="168" fontId="43" fillId="3" borderId="4" xfId="1" applyNumberFormat="1" applyFont="1" applyFill="1" applyBorder="1" applyAlignment="1">
      <alignment horizontal="center"/>
    </xf>
    <xf numFmtId="0" fontId="52" fillId="4" borderId="27" xfId="0" applyFont="1" applyFill="1" applyBorder="1" applyAlignment="1">
      <alignment horizontal="center" wrapText="1"/>
    </xf>
    <xf numFmtId="0" fontId="52" fillId="4" borderId="28" xfId="0" applyFont="1" applyFill="1" applyBorder="1" applyAlignment="1">
      <alignment horizontal="center"/>
    </xf>
    <xf numFmtId="0" fontId="52" fillId="4" borderId="29" xfId="0" applyFont="1" applyFill="1" applyBorder="1" applyAlignment="1">
      <alignment horizontal="center"/>
    </xf>
    <xf numFmtId="0" fontId="64" fillId="4" borderId="30" xfId="0" applyFont="1" applyFill="1" applyBorder="1" applyAlignment="1">
      <alignment horizontal="center"/>
    </xf>
    <xf numFmtId="0" fontId="64" fillId="4" borderId="32" xfId="0" applyFont="1" applyFill="1" applyBorder="1" applyAlignment="1">
      <alignment horizontal="center"/>
    </xf>
    <xf numFmtId="3" fontId="43" fillId="0" borderId="0" xfId="0" applyNumberFormat="1" applyFont="1" applyBorder="1" applyAlignment="1">
      <alignment horizontal="center" wrapText="1"/>
    </xf>
    <xf numFmtId="3" fontId="43" fillId="0" borderId="8" xfId="0" applyNumberFormat="1" applyFont="1" applyBorder="1" applyAlignment="1">
      <alignment horizontal="center" wrapText="1"/>
    </xf>
    <xf numFmtId="3" fontId="43" fillId="0" borderId="5" xfId="0" applyNumberFormat="1" applyFont="1" applyBorder="1" applyAlignment="1">
      <alignment horizontal="center" wrapText="1"/>
    </xf>
    <xf numFmtId="3" fontId="43" fillId="0" borderId="7" xfId="0" applyNumberFormat="1" applyFont="1" applyBorder="1" applyAlignment="1">
      <alignment horizontal="center" wrapText="1"/>
    </xf>
    <xf numFmtId="3" fontId="43" fillId="0" borderId="0" xfId="1" applyNumberFormat="1" applyFont="1" applyBorder="1" applyAlignment="1">
      <alignment horizontal="center" wrapText="1"/>
    </xf>
    <xf numFmtId="0" fontId="43" fillId="3" borderId="3" xfId="0" applyFont="1" applyFill="1" applyBorder="1" applyAlignment="1">
      <alignment horizontal="center"/>
    </xf>
    <xf numFmtId="0" fontId="43" fillId="3" borderId="3" xfId="0" applyFont="1" applyFill="1" applyBorder="1" applyAlignment="1">
      <alignment horizontal="center" wrapText="1"/>
    </xf>
    <xf numFmtId="0" fontId="64" fillId="4" borderId="31" xfId="0" applyFont="1" applyFill="1" applyBorder="1" applyAlignment="1">
      <alignment horizontal="center"/>
    </xf>
    <xf numFmtId="168" fontId="66" fillId="0" borderId="0" xfId="1" applyNumberFormat="1" applyFont="1"/>
    <xf numFmtId="168" fontId="66" fillId="3" borderId="1" xfId="1" applyNumberFormat="1" applyFont="1" applyFill="1" applyBorder="1" applyAlignment="1">
      <alignment horizontal="center" wrapText="1"/>
    </xf>
    <xf numFmtId="168" fontId="66" fillId="0" borderId="0" xfId="1" applyNumberFormat="1" applyFont="1" applyAlignment="1">
      <alignment horizontal="center" wrapText="1"/>
    </xf>
    <xf numFmtId="3" fontId="66" fillId="0" borderId="0" xfId="1" applyNumberFormat="1" applyFont="1" applyAlignment="1">
      <alignment horizontal="center"/>
    </xf>
    <xf numFmtId="3" fontId="50" fillId="3" borderId="43" xfId="0" applyNumberFormat="1" applyFont="1" applyFill="1" applyBorder="1" applyAlignment="1">
      <alignment horizontal="center"/>
    </xf>
    <xf numFmtId="168" fontId="66" fillId="3" borderId="0" xfId="1" applyNumberFormat="1" applyFont="1" applyFill="1"/>
    <xf numFmtId="3" fontId="66" fillId="3" borderId="43" xfId="1" applyNumberFormat="1" applyFont="1" applyFill="1" applyBorder="1" applyAlignment="1">
      <alignment horizontal="center"/>
    </xf>
    <xf numFmtId="168" fontId="66" fillId="0" borderId="0" xfId="1" quotePrefix="1" applyNumberFormat="1" applyFont="1"/>
    <xf numFmtId="168" fontId="66" fillId="0" borderId="0" xfId="1" applyNumberFormat="1" applyFont="1" applyAlignment="1">
      <alignment horizontal="center"/>
    </xf>
    <xf numFmtId="9" fontId="66" fillId="0" borderId="0" xfId="2" applyFont="1" applyAlignment="1">
      <alignment horizontal="center"/>
    </xf>
    <xf numFmtId="3" fontId="66" fillId="0" borderId="0" xfId="2" applyNumberFormat="1" applyFont="1" applyAlignment="1">
      <alignment horizontal="center"/>
    </xf>
    <xf numFmtId="168" fontId="71" fillId="0" borderId="0" xfId="1" applyNumberFormat="1" applyFont="1" applyAlignment="1">
      <alignment horizontal="center"/>
    </xf>
    <xf numFmtId="0" fontId="66" fillId="3" borderId="35" xfId="0" applyFont="1" applyFill="1" applyBorder="1" applyAlignment="1">
      <alignment horizontal="center" wrapText="1"/>
    </xf>
    <xf numFmtId="0" fontId="66" fillId="3" borderId="36" xfId="0" applyFont="1" applyFill="1" applyBorder="1" applyAlignment="1">
      <alignment horizontal="center" wrapText="1"/>
    </xf>
    <xf numFmtId="0" fontId="66" fillId="3" borderId="37" xfId="0" applyFont="1" applyFill="1" applyBorder="1" applyAlignment="1">
      <alignment horizontal="center" wrapText="1"/>
    </xf>
    <xf numFmtId="3" fontId="66" fillId="0" borderId="38" xfId="0" applyNumberFormat="1" applyFont="1" applyBorder="1" applyAlignment="1">
      <alignment horizontal="center" wrapText="1"/>
    </xf>
    <xf numFmtId="3" fontId="66" fillId="0" borderId="0" xfId="0" applyNumberFormat="1" applyFont="1" applyBorder="1" applyAlignment="1">
      <alignment horizontal="center" wrapText="1"/>
    </xf>
    <xf numFmtId="169" fontId="66" fillId="0" borderId="39" xfId="0" applyNumberFormat="1" applyFont="1" applyBorder="1" applyAlignment="1">
      <alignment horizontal="center" wrapText="1"/>
    </xf>
    <xf numFmtId="3" fontId="66" fillId="0" borderId="40" xfId="0" applyNumberFormat="1" applyFont="1" applyBorder="1" applyAlignment="1">
      <alignment horizontal="center" wrapText="1"/>
    </xf>
    <xf numFmtId="3" fontId="66" fillId="0" borderId="41" xfId="0" applyNumberFormat="1" applyFont="1" applyBorder="1" applyAlignment="1">
      <alignment horizontal="center" wrapText="1"/>
    </xf>
    <xf numFmtId="169" fontId="66" fillId="0" borderId="42" xfId="0" applyNumberFormat="1" applyFont="1" applyBorder="1" applyAlignment="1">
      <alignment horizontal="center" wrapText="1"/>
    </xf>
    <xf numFmtId="168" fontId="73" fillId="0" borderId="0" xfId="1" applyNumberFormat="1" applyFont="1"/>
    <xf numFmtId="3" fontId="66" fillId="0" borderId="0" xfId="1" applyNumberFormat="1" applyFont="1" applyAlignment="1"/>
    <xf numFmtId="0" fontId="66" fillId="3" borderId="2" xfId="0" applyFont="1" applyFill="1" applyBorder="1" applyAlignment="1"/>
    <xf numFmtId="0" fontId="66" fillId="3" borderId="3" xfId="0" applyFont="1" applyFill="1" applyBorder="1" applyAlignment="1"/>
    <xf numFmtId="0" fontId="66" fillId="3" borderId="3" xfId="0" applyFont="1" applyFill="1" applyBorder="1" applyAlignment="1">
      <alignment horizontal="center" wrapText="1"/>
    </xf>
    <xf numFmtId="3" fontId="66" fillId="3" borderId="3" xfId="0" applyNumberFormat="1" applyFont="1" applyFill="1" applyBorder="1" applyAlignment="1">
      <alignment horizontal="center" wrapText="1"/>
    </xf>
    <xf numFmtId="3" fontId="66" fillId="0" borderId="5" xfId="0" applyNumberFormat="1" applyFont="1" applyBorder="1" applyAlignment="1">
      <alignment horizontal="center" wrapText="1"/>
    </xf>
    <xf numFmtId="9" fontId="66" fillId="0" borderId="0" xfId="0" applyNumberFormat="1" applyFont="1" applyBorder="1" applyAlignment="1">
      <alignment horizontal="center" wrapText="1"/>
    </xf>
    <xf numFmtId="3" fontId="66" fillId="0" borderId="7" xfId="0" applyNumberFormat="1" applyFont="1" applyBorder="1" applyAlignment="1">
      <alignment horizontal="center" wrapText="1"/>
    </xf>
    <xf numFmtId="3" fontId="66" fillId="0" borderId="8" xfId="0" applyNumberFormat="1" applyFont="1" applyBorder="1" applyAlignment="1">
      <alignment horizontal="center" wrapText="1"/>
    </xf>
    <xf numFmtId="9" fontId="66" fillId="0" borderId="8" xfId="0" applyNumberFormat="1" applyFont="1" applyBorder="1" applyAlignment="1">
      <alignment horizontal="center" wrapText="1"/>
    </xf>
    <xf numFmtId="3" fontId="66" fillId="0" borderId="0" xfId="1" applyNumberFormat="1" applyFont="1" applyAlignment="1">
      <alignment horizontal="right"/>
    </xf>
    <xf numFmtId="3" fontId="66" fillId="0" borderId="0" xfId="2" applyNumberFormat="1" applyFont="1" applyAlignment="1">
      <alignment horizontal="right"/>
    </xf>
    <xf numFmtId="3" fontId="66" fillId="0" borderId="0" xfId="6" applyNumberFormat="1" applyFont="1" applyAlignment="1">
      <alignment horizontal="center"/>
    </xf>
    <xf numFmtId="164" fontId="66" fillId="0" borderId="0" xfId="0" applyNumberFormat="1" applyFont="1" applyAlignment="1">
      <alignment horizontal="center" wrapText="1"/>
    </xf>
    <xf numFmtId="9" fontId="66" fillId="0" borderId="0" xfId="0" applyNumberFormat="1" applyFont="1" applyAlignment="1">
      <alignment horizontal="center" wrapText="1"/>
    </xf>
    <xf numFmtId="3" fontId="66" fillId="0" borderId="0" xfId="2" applyNumberFormat="1" applyFont="1" applyAlignment="1">
      <alignment horizontal="left"/>
    </xf>
    <xf numFmtId="0" fontId="66" fillId="0" borderId="0" xfId="0" applyFont="1" applyBorder="1" applyAlignment="1">
      <alignment horizontal="center" wrapText="1"/>
    </xf>
    <xf numFmtId="0" fontId="66" fillId="3" borderId="4" xfId="0" applyFont="1" applyFill="1" applyBorder="1" applyAlignment="1">
      <alignment horizontal="center" wrapText="1"/>
    </xf>
    <xf numFmtId="10" fontId="66" fillId="0" borderId="6" xfId="0" applyNumberFormat="1" applyFont="1" applyBorder="1" applyAlignment="1">
      <alignment horizontal="center" wrapText="1"/>
    </xf>
    <xf numFmtId="10" fontId="66" fillId="0" borderId="9" xfId="0" applyNumberFormat="1" applyFont="1" applyBorder="1" applyAlignment="1">
      <alignment horizontal="center" wrapText="1"/>
    </xf>
    <xf numFmtId="9" fontId="66" fillId="0" borderId="39" xfId="0" applyNumberFormat="1" applyFont="1" applyBorder="1" applyAlignment="1">
      <alignment horizontal="center" wrapText="1"/>
    </xf>
    <xf numFmtId="10" fontId="66" fillId="0" borderId="39" xfId="0" applyNumberFormat="1" applyFont="1" applyBorder="1" applyAlignment="1">
      <alignment horizontal="center" wrapText="1"/>
    </xf>
    <xf numFmtId="9" fontId="66" fillId="0" borderId="42" xfId="0" applyNumberFormat="1" applyFont="1" applyBorder="1" applyAlignment="1">
      <alignment horizontal="center" wrapText="1"/>
    </xf>
    <xf numFmtId="168" fontId="66" fillId="3" borderId="13" xfId="1" applyNumberFormat="1" applyFont="1" applyFill="1" applyBorder="1" applyAlignment="1">
      <alignment horizontal="center" wrapText="1"/>
    </xf>
    <xf numFmtId="168" fontId="66" fillId="0" borderId="43" xfId="1" applyNumberFormat="1" applyFont="1" applyBorder="1" applyAlignment="1">
      <alignment horizontal="center"/>
    </xf>
    <xf numFmtId="168" fontId="67" fillId="0" borderId="43" xfId="1" applyNumberFormat="1" applyFont="1" applyBorder="1" applyAlignment="1">
      <alignment horizontal="center"/>
    </xf>
    <xf numFmtId="168" fontId="66" fillId="0" borderId="43" xfId="1" applyNumberFormat="1" applyFont="1" applyBorder="1"/>
    <xf numFmtId="3" fontId="66" fillId="0" borderId="43" xfId="1" applyNumberFormat="1" applyFont="1" applyBorder="1" applyAlignment="1">
      <alignment horizontal="center"/>
    </xf>
    <xf numFmtId="168" fontId="71" fillId="0" borderId="43" xfId="1" applyNumberFormat="1" applyFont="1" applyBorder="1" applyAlignment="1">
      <alignment horizontal="center"/>
    </xf>
    <xf numFmtId="168" fontId="62" fillId="0" borderId="43" xfId="1" applyNumberFormat="1" applyFont="1" applyBorder="1" applyAlignment="1">
      <alignment horizontal="center"/>
    </xf>
    <xf numFmtId="168" fontId="66" fillId="3" borderId="43" xfId="1" applyNumberFormat="1" applyFont="1" applyFill="1" applyBorder="1" applyAlignment="1">
      <alignment horizontal="center"/>
    </xf>
    <xf numFmtId="168" fontId="71" fillId="0" borderId="43" xfId="1" applyNumberFormat="1" applyFont="1" applyFill="1" applyBorder="1" applyAlignment="1">
      <alignment horizontal="center"/>
    </xf>
    <xf numFmtId="3" fontId="66" fillId="0" borderId="43" xfId="1" applyNumberFormat="1" applyFont="1" applyFill="1" applyBorder="1" applyAlignment="1">
      <alignment horizontal="center"/>
    </xf>
    <xf numFmtId="3" fontId="66" fillId="3" borderId="43" xfId="0" applyNumberFormat="1" applyFont="1" applyFill="1" applyBorder="1" applyAlignment="1">
      <alignment horizontal="center"/>
    </xf>
    <xf numFmtId="168" fontId="66" fillId="0" borderId="44" xfId="1" applyNumberFormat="1" applyFont="1" applyBorder="1" applyAlignment="1">
      <alignment horizontal="center"/>
    </xf>
    <xf numFmtId="168" fontId="67" fillId="0" borderId="44" xfId="1" applyNumberFormat="1" applyFont="1" applyBorder="1" applyAlignment="1">
      <alignment horizontal="center"/>
    </xf>
    <xf numFmtId="168" fontId="66" fillId="0" borderId="44" xfId="1" applyNumberFormat="1" applyFont="1" applyBorder="1"/>
    <xf numFmtId="3" fontId="66" fillId="0" borderId="44" xfId="1" applyNumberFormat="1" applyFont="1" applyBorder="1" applyAlignment="1">
      <alignment horizontal="center"/>
    </xf>
    <xf numFmtId="168" fontId="71" fillId="0" borderId="44" xfId="1" applyNumberFormat="1" applyFont="1" applyBorder="1" applyAlignment="1">
      <alignment horizontal="center"/>
    </xf>
    <xf numFmtId="0" fontId="74" fillId="2" borderId="2" xfId="0" applyFont="1" applyFill="1" applyBorder="1" applyAlignment="1">
      <alignment horizontal="right" wrapText="1"/>
    </xf>
    <xf numFmtId="0" fontId="74" fillId="2" borderId="3" xfId="0" applyFont="1" applyFill="1" applyBorder="1" applyAlignment="1">
      <alignment horizontal="right" wrapText="1"/>
    </xf>
    <xf numFmtId="10" fontId="74" fillId="2" borderId="4" xfId="0" applyNumberFormat="1" applyFont="1" applyFill="1" applyBorder="1" applyAlignment="1">
      <alignment horizontal="right" wrapText="1"/>
    </xf>
    <xf numFmtId="3" fontId="74" fillId="2" borderId="5" xfId="0" applyNumberFormat="1" applyFont="1" applyFill="1" applyBorder="1" applyAlignment="1">
      <alignment horizontal="right" wrapText="1"/>
    </xf>
    <xf numFmtId="0" fontId="74" fillId="2" borderId="0" xfId="0" applyFont="1" applyFill="1" applyBorder="1" applyAlignment="1">
      <alignment horizontal="right" wrapText="1"/>
    </xf>
    <xf numFmtId="10" fontId="74" fillId="2" borderId="6" xfId="0" applyNumberFormat="1" applyFont="1" applyFill="1" applyBorder="1" applyAlignment="1">
      <alignment horizontal="right" wrapText="1"/>
    </xf>
    <xf numFmtId="3" fontId="74" fillId="2" borderId="0" xfId="0" applyNumberFormat="1" applyFont="1" applyFill="1" applyBorder="1" applyAlignment="1">
      <alignment horizontal="right" wrapText="1"/>
    </xf>
    <xf numFmtId="3" fontId="74" fillId="2" borderId="7" xfId="0" applyNumberFormat="1" applyFont="1" applyFill="1" applyBorder="1" applyAlignment="1">
      <alignment horizontal="right" wrapText="1"/>
    </xf>
    <xf numFmtId="3" fontId="74" fillId="2" borderId="8" xfId="0" applyNumberFormat="1" applyFont="1" applyFill="1" applyBorder="1" applyAlignment="1">
      <alignment horizontal="right" wrapText="1"/>
    </xf>
    <xf numFmtId="10" fontId="74" fillId="2" borderId="9" xfId="0" applyNumberFormat="1" applyFont="1" applyFill="1" applyBorder="1" applyAlignment="1">
      <alignment horizontal="right" wrapText="1"/>
    </xf>
    <xf numFmtId="0" fontId="55" fillId="0" borderId="5" xfId="0" applyFont="1" applyBorder="1" applyAlignment="1">
      <alignment horizontal="left" vertical="center"/>
    </xf>
    <xf numFmtId="0" fontId="39" fillId="0" borderId="0" xfId="0" applyFont="1" applyAlignment="1">
      <alignment horizontal="center" vertical="center"/>
    </xf>
    <xf numFmtId="0" fontId="45" fillId="0" borderId="6" xfId="0" applyFont="1" applyBorder="1" applyAlignment="1">
      <alignment horizontal="center" vertical="center"/>
    </xf>
    <xf numFmtId="0" fontId="55" fillId="0" borderId="2" xfId="0" applyFont="1" applyBorder="1" applyAlignment="1">
      <alignment horizontal="left" vertical="center"/>
    </xf>
    <xf numFmtId="0" fontId="75" fillId="0" borderId="3" xfId="0" applyFont="1" applyBorder="1" applyAlignment="1">
      <alignment horizontal="left" vertical="center"/>
    </xf>
    <xf numFmtId="0" fontId="55" fillId="0" borderId="3" xfId="0" applyFont="1" applyBorder="1" applyAlignment="1">
      <alignment horizontal="center" vertical="center"/>
    </xf>
    <xf numFmtId="0" fontId="61" fillId="0" borderId="4" xfId="0" applyFont="1" applyBorder="1" applyAlignment="1">
      <alignment horizontal="center" vertical="center"/>
    </xf>
    <xf numFmtId="0" fontId="44" fillId="0" borderId="3" xfId="0" applyFont="1" applyBorder="1" applyAlignment="1">
      <alignment vertical="center"/>
    </xf>
    <xf numFmtId="0" fontId="76" fillId="3" borderId="0" xfId="0" applyFont="1" applyFill="1" applyAlignment="1">
      <alignment horizontal="center"/>
    </xf>
    <xf numFmtId="0" fontId="76" fillId="3" borderId="6" xfId="0" applyFont="1" applyFill="1" applyBorder="1" applyAlignment="1">
      <alignment horizontal="right"/>
    </xf>
    <xf numFmtId="3" fontId="75" fillId="3" borderId="10" xfId="1" applyNumberFormat="1" applyFont="1" applyFill="1" applyBorder="1" applyAlignment="1">
      <alignment horizontal="center"/>
    </xf>
    <xf numFmtId="0" fontId="77" fillId="0" borderId="0" xfId="0" applyFont="1" applyAlignment="1">
      <alignment horizontal="center"/>
    </xf>
    <xf numFmtId="169" fontId="78" fillId="0" borderId="0" xfId="2" applyNumberFormat="1" applyFont="1" applyAlignment="1">
      <alignment horizontal="center" vertical="center"/>
    </xf>
    <xf numFmtId="0" fontId="77" fillId="0" borderId="0" xfId="0" applyFont="1"/>
    <xf numFmtId="3" fontId="77" fillId="0" borderId="0" xfId="0" applyNumberFormat="1" applyFont="1" applyAlignment="1">
      <alignment horizontal="center"/>
    </xf>
    <xf numFmtId="3" fontId="79" fillId="0" borderId="0" xfId="1" applyNumberFormat="1" applyFont="1" applyBorder="1" applyAlignment="1" applyProtection="1">
      <alignment horizontal="center"/>
      <protection locked="0"/>
    </xf>
    <xf numFmtId="3" fontId="77" fillId="0" borderId="0" xfId="1" applyNumberFormat="1" applyFont="1" applyAlignment="1">
      <alignment horizontal="center"/>
    </xf>
    <xf numFmtId="9" fontId="77" fillId="0" borderId="0" xfId="2" applyFont="1" applyAlignment="1">
      <alignment horizontal="center"/>
    </xf>
    <xf numFmtId="0" fontId="80" fillId="0" borderId="0" xfId="0" applyFont="1" applyAlignment="1">
      <alignment horizontal="center"/>
    </xf>
    <xf numFmtId="3" fontId="80" fillId="0" borderId="0" xfId="1" applyNumberFormat="1" applyFont="1" applyAlignment="1">
      <alignment horizontal="center"/>
    </xf>
    <xf numFmtId="9" fontId="80" fillId="0" borderId="0" xfId="2" applyFont="1" applyAlignment="1">
      <alignment horizontal="center"/>
    </xf>
    <xf numFmtId="0" fontId="46" fillId="0" borderId="12" xfId="0" applyFont="1" applyFill="1" applyBorder="1" applyAlignment="1" applyProtection="1">
      <alignment horizontal="right" vertical="center"/>
    </xf>
    <xf numFmtId="3" fontId="42" fillId="0" borderId="5" xfId="0" applyNumberFormat="1" applyFont="1" applyBorder="1" applyAlignment="1" applyProtection="1">
      <alignment horizontal="center"/>
    </xf>
    <xf numFmtId="169" fontId="42" fillId="0" borderId="0" xfId="2" applyNumberFormat="1" applyFont="1" applyBorder="1" applyAlignment="1" applyProtection="1">
      <alignment horizontal="center"/>
    </xf>
    <xf numFmtId="0" fontId="42" fillId="0" borderId="0" xfId="0" applyFont="1" applyBorder="1" applyAlignment="1" applyProtection="1">
      <alignment horizontal="center"/>
    </xf>
    <xf numFmtId="3" fontId="44" fillId="0" borderId="0" xfId="0" applyNumberFormat="1" applyFont="1" applyBorder="1" applyAlignment="1" applyProtection="1">
      <alignment horizontal="center" vertical="center"/>
    </xf>
    <xf numFmtId="0" fontId="46" fillId="0" borderId="5" xfId="0" applyFont="1" applyFill="1" applyBorder="1" applyAlignment="1" applyProtection="1">
      <alignment horizontal="right" vertical="center"/>
    </xf>
    <xf numFmtId="0" fontId="46" fillId="0" borderId="0" xfId="0" applyFont="1" applyFill="1" applyBorder="1" applyAlignment="1" applyProtection="1">
      <alignment horizontal="right" vertical="center"/>
    </xf>
    <xf numFmtId="3" fontId="42" fillId="0" borderId="0" xfId="0" applyNumberFormat="1" applyFont="1" applyBorder="1" applyAlignment="1" applyProtection="1">
      <alignment horizontal="center"/>
    </xf>
    <xf numFmtId="9" fontId="42" fillId="0" borderId="0" xfId="2" applyFont="1" applyBorder="1" applyAlignment="1" applyProtection="1">
      <alignment horizontal="center"/>
    </xf>
    <xf numFmtId="0" fontId="28" fillId="0" borderId="0" xfId="0" applyFont="1" applyAlignment="1" applyProtection="1">
      <alignment horizontal="right"/>
    </xf>
    <xf numFmtId="9" fontId="28" fillId="0" borderId="0" xfId="5" applyFont="1" applyFill="1" applyBorder="1" applyAlignment="1" applyProtection="1">
      <alignment horizontal="right"/>
    </xf>
    <xf numFmtId="0" fontId="28" fillId="0" borderId="0" xfId="0" applyFont="1" applyProtection="1"/>
    <xf numFmtId="0" fontId="25" fillId="0" borderId="0" xfId="0" applyFont="1" applyFill="1" applyBorder="1" applyAlignment="1" applyProtection="1">
      <alignment horizontal="left" vertical="center"/>
    </xf>
    <xf numFmtId="37" fontId="28" fillId="0" borderId="0" xfId="4" applyNumberFormat="1" applyFont="1" applyFill="1" applyBorder="1" applyAlignment="1" applyProtection="1">
      <alignment horizontal="left"/>
    </xf>
    <xf numFmtId="168" fontId="31" fillId="0" borderId="0" xfId="4" applyNumberFormat="1" applyFont="1" applyFill="1" applyBorder="1" applyAlignment="1" applyProtection="1">
      <alignment horizontal="center"/>
    </xf>
    <xf numFmtId="168" fontId="73" fillId="0" borderId="8" xfId="1" applyNumberFormat="1" applyFont="1" applyBorder="1" applyAlignment="1"/>
    <xf numFmtId="0" fontId="37" fillId="0" borderId="6" xfId="0" applyFont="1" applyFill="1" applyBorder="1" applyAlignment="1"/>
    <xf numFmtId="0" fontId="37" fillId="0" borderId="6" xfId="0" applyFont="1" applyBorder="1" applyAlignment="1">
      <alignment vertical="top"/>
    </xf>
    <xf numFmtId="3" fontId="50" fillId="8" borderId="43" xfId="0" applyNumberFormat="1" applyFont="1" applyFill="1" applyBorder="1" applyAlignment="1">
      <alignment horizontal="center"/>
    </xf>
    <xf numFmtId="0" fontId="59" fillId="0" borderId="0" xfId="0" applyFont="1" applyAlignment="1">
      <alignment horizontal="right"/>
    </xf>
    <xf numFmtId="0" fontId="59" fillId="0" borderId="0" xfId="0" applyFont="1" applyAlignment="1">
      <alignment horizontal="left"/>
    </xf>
    <xf numFmtId="168" fontId="71" fillId="0" borderId="43" xfId="1" applyNumberFormat="1" applyFont="1" applyFill="1" applyBorder="1" applyAlignment="1">
      <alignment horizontal="right"/>
    </xf>
    <xf numFmtId="0" fontId="37" fillId="0" borderId="7" xfId="0" applyFont="1" applyBorder="1" applyAlignment="1">
      <alignment horizontal="center"/>
    </xf>
    <xf numFmtId="169" fontId="37" fillId="0" borderId="8" xfId="2" applyNumberFormat="1" applyFont="1" applyBorder="1" applyAlignment="1">
      <alignment horizontal="center"/>
    </xf>
    <xf numFmtId="169" fontId="37" fillId="0" borderId="9" xfId="2" applyNumberFormat="1" applyFont="1" applyBorder="1" applyAlignment="1">
      <alignment horizontal="center"/>
    </xf>
    <xf numFmtId="0" fontId="37" fillId="0" borderId="0" xfId="0" applyFont="1" applyBorder="1"/>
    <xf numFmtId="3" fontId="44" fillId="0" borderId="0" xfId="0" quotePrefix="1" applyNumberFormat="1" applyFont="1" applyBorder="1" applyAlignment="1">
      <alignment horizontal="center"/>
    </xf>
    <xf numFmtId="9" fontId="66" fillId="0" borderId="6" xfId="0" applyNumberFormat="1" applyFont="1" applyBorder="1" applyAlignment="1">
      <alignment horizontal="center" wrapText="1"/>
    </xf>
    <xf numFmtId="9" fontId="66" fillId="0" borderId="9" xfId="0" applyNumberFormat="1" applyFont="1" applyBorder="1" applyAlignment="1">
      <alignment horizontal="center" wrapText="1"/>
    </xf>
    <xf numFmtId="0" fontId="83" fillId="3" borderId="6" xfId="0" applyFont="1" applyFill="1" applyBorder="1" applyAlignment="1">
      <alignment horizontal="center"/>
    </xf>
    <xf numFmtId="3" fontId="75" fillId="0" borderId="1" xfId="0" applyNumberFormat="1" applyFont="1" applyBorder="1" applyAlignment="1">
      <alignment horizontal="center"/>
    </xf>
    <xf numFmtId="169" fontId="54" fillId="0" borderId="49" xfId="0" applyNumberFormat="1" applyFont="1" applyBorder="1" applyAlignment="1">
      <alignment horizontal="center" vertical="center"/>
    </xf>
    <xf numFmtId="0" fontId="83" fillId="3" borderId="21" xfId="0" applyFont="1" applyFill="1" applyBorder="1" applyAlignment="1">
      <alignment horizontal="center"/>
    </xf>
    <xf numFmtId="0" fontId="82" fillId="0" borderId="0" xfId="0" applyFont="1" applyAlignment="1">
      <alignment horizontal="left" vertical="top"/>
    </xf>
    <xf numFmtId="3" fontId="59" fillId="0" borderId="7" xfId="0" applyNumberFormat="1" applyFont="1" applyBorder="1" applyAlignment="1">
      <alignment horizontal="center"/>
    </xf>
    <xf numFmtId="3" fontId="59" fillId="0" borderId="8" xfId="0" applyNumberFormat="1" applyFont="1" applyBorder="1"/>
    <xf numFmtId="3" fontId="59" fillId="0" borderId="9" xfId="0" quotePrefix="1" applyNumberFormat="1" applyFont="1" applyBorder="1"/>
    <xf numFmtId="0" fontId="46" fillId="0" borderId="0" xfId="0" applyFont="1" applyBorder="1" applyAlignment="1">
      <alignment vertical="center"/>
    </xf>
    <xf numFmtId="0" fontId="50" fillId="0" borderId="1" xfId="0" applyFont="1" applyBorder="1" applyAlignment="1">
      <alignment horizontal="center"/>
    </xf>
    <xf numFmtId="168" fontId="84" fillId="9" borderId="0" xfId="1" applyNumberFormat="1" applyFont="1" applyFill="1"/>
    <xf numFmtId="3" fontId="66" fillId="0" borderId="1" xfId="1" applyNumberFormat="1" applyFont="1" applyBorder="1" applyAlignment="1">
      <alignment horizontal="center"/>
    </xf>
    <xf numFmtId="3" fontId="66" fillId="8" borderId="0" xfId="1" applyNumberFormat="1" applyFont="1" applyFill="1" applyAlignment="1">
      <alignment horizontal="center"/>
    </xf>
    <xf numFmtId="3" fontId="66" fillId="10" borderId="0" xfId="1" applyNumberFormat="1" applyFont="1" applyFill="1" applyAlignment="1">
      <alignment horizontal="center"/>
    </xf>
    <xf numFmtId="168" fontId="71" fillId="0" borderId="46" xfId="1" applyNumberFormat="1" applyFont="1" applyFill="1" applyBorder="1" applyAlignment="1">
      <alignment horizontal="center"/>
    </xf>
    <xf numFmtId="3" fontId="66" fillId="0" borderId="47" xfId="1" applyNumberFormat="1" applyFont="1" applyBorder="1" applyAlignment="1">
      <alignment horizontal="center"/>
    </xf>
    <xf numFmtId="3" fontId="66" fillId="0" borderId="50" xfId="1" applyNumberFormat="1" applyFont="1" applyBorder="1" applyAlignment="1">
      <alignment horizontal="center"/>
    </xf>
    <xf numFmtId="3" fontId="66" fillId="8" borderId="43" xfId="1" applyNumberFormat="1" applyFont="1" applyFill="1" applyBorder="1" applyAlignment="1">
      <alignment horizontal="center"/>
    </xf>
    <xf numFmtId="168" fontId="66" fillId="8" borderId="43" xfId="1" applyNumberFormat="1" applyFont="1" applyFill="1" applyBorder="1"/>
    <xf numFmtId="168" fontId="66" fillId="3" borderId="43" xfId="1" applyNumberFormat="1" applyFont="1" applyFill="1" applyBorder="1"/>
    <xf numFmtId="168" fontId="66" fillId="3" borderId="0" xfId="1" applyNumberFormat="1" applyFont="1" applyFill="1" applyBorder="1" applyAlignment="1">
      <alignment horizontal="center" wrapText="1"/>
    </xf>
    <xf numFmtId="168" fontId="66" fillId="3" borderId="50" xfId="1" applyNumberFormat="1" applyFont="1" applyFill="1" applyBorder="1" applyAlignment="1">
      <alignment horizontal="center" wrapText="1"/>
    </xf>
    <xf numFmtId="168" fontId="66" fillId="3" borderId="53" xfId="1" applyNumberFormat="1" applyFont="1" applyFill="1" applyBorder="1" applyAlignment="1">
      <alignment horizontal="center" wrapText="1"/>
    </xf>
    <xf numFmtId="3" fontId="66" fillId="3" borderId="54" xfId="1" applyNumberFormat="1" applyFont="1" applyFill="1" applyBorder="1" applyAlignment="1">
      <alignment horizontal="center" wrapText="1"/>
    </xf>
    <xf numFmtId="3" fontId="50" fillId="0" borderId="44" xfId="0" applyNumberFormat="1" applyFont="1" applyFill="1" applyBorder="1" applyAlignment="1">
      <alignment horizontal="center"/>
    </xf>
    <xf numFmtId="168" fontId="66" fillId="3" borderId="54" xfId="1" applyNumberFormat="1" applyFont="1" applyFill="1" applyBorder="1" applyAlignment="1">
      <alignment horizontal="center" wrapText="1"/>
    </xf>
    <xf numFmtId="3" fontId="66" fillId="8" borderId="11" xfId="1" applyNumberFormat="1" applyFont="1" applyFill="1" applyBorder="1" applyAlignment="1">
      <alignment horizontal="center" wrapText="1"/>
    </xf>
    <xf numFmtId="3" fontId="66" fillId="8" borderId="13" xfId="1" applyNumberFormat="1" applyFont="1" applyFill="1" applyBorder="1" applyAlignment="1">
      <alignment horizontal="center" wrapText="1"/>
    </xf>
    <xf numFmtId="168" fontId="72" fillId="0" borderId="0" xfId="1" applyNumberFormat="1" applyFont="1" applyAlignment="1">
      <alignment horizontal="left" vertical="center"/>
    </xf>
    <xf numFmtId="0" fontId="0" fillId="0" borderId="0" xfId="0" quotePrefix="1"/>
    <xf numFmtId="3" fontId="44" fillId="0" borderId="0" xfId="1" quotePrefix="1" applyNumberFormat="1" applyFont="1" applyBorder="1" applyAlignment="1">
      <alignment horizontal="left"/>
    </xf>
    <xf numFmtId="0" fontId="90" fillId="0" borderId="0" xfId="0" applyFont="1"/>
    <xf numFmtId="0" fontId="6" fillId="5" borderId="14" xfId="3" applyFont="1" applyFill="1" applyBorder="1" applyAlignment="1">
      <alignment horizontal="left" vertical="center" wrapText="1"/>
    </xf>
    <xf numFmtId="0" fontId="6" fillId="5" borderId="15" xfId="3" applyFont="1" applyFill="1" applyBorder="1" applyAlignment="1">
      <alignment horizontal="left" vertical="center" wrapText="1"/>
    </xf>
    <xf numFmtId="0" fontId="6" fillId="5" borderId="16" xfId="3" applyFont="1" applyFill="1" applyBorder="1" applyAlignment="1">
      <alignment horizontal="left" vertical="center" wrapText="1"/>
    </xf>
    <xf numFmtId="0" fontId="8" fillId="0" borderId="0" xfId="3" applyFont="1" applyAlignment="1">
      <alignment horizontal="center" vertical="center" wrapText="1"/>
    </xf>
    <xf numFmtId="0" fontId="6" fillId="0" borderId="0" xfId="3" applyFont="1" applyAlignment="1">
      <alignment horizontal="left" vertical="top" wrapText="1"/>
    </xf>
    <xf numFmtId="0" fontId="6" fillId="2" borderId="0" xfId="3" applyFont="1" applyFill="1" applyAlignment="1">
      <alignment horizontal="left" vertical="top" wrapText="1"/>
    </xf>
    <xf numFmtId="0" fontId="6" fillId="0" borderId="0" xfId="3" applyFont="1" applyAlignment="1">
      <alignment horizontal="left" vertical="center" wrapText="1"/>
    </xf>
    <xf numFmtId="0" fontId="68" fillId="0" borderId="0" xfId="3" applyFont="1" applyAlignment="1">
      <alignment horizontal="center" vertical="top"/>
    </xf>
    <xf numFmtId="0" fontId="6" fillId="5" borderId="17" xfId="3" quotePrefix="1" applyNumberFormat="1" applyFont="1" applyFill="1" applyBorder="1" applyAlignment="1">
      <alignment horizontal="left" vertical="center" wrapText="1"/>
    </xf>
    <xf numFmtId="0" fontId="6" fillId="5" borderId="18" xfId="3" applyNumberFormat="1" applyFont="1" applyFill="1" applyBorder="1" applyAlignment="1">
      <alignment horizontal="left" vertical="center" wrapText="1"/>
    </xf>
    <xf numFmtId="0" fontId="6" fillId="5" borderId="19" xfId="3" applyNumberFormat="1" applyFont="1" applyFill="1" applyBorder="1" applyAlignment="1">
      <alignment horizontal="left" vertical="center" wrapText="1"/>
    </xf>
    <xf numFmtId="0" fontId="4" fillId="0" borderId="0" xfId="3" applyFont="1" applyAlignment="1">
      <alignment horizontal="center" vertical="center"/>
    </xf>
    <xf numFmtId="0" fontId="32" fillId="0" borderId="0" xfId="3" applyFont="1" applyAlignment="1">
      <alignment horizontal="left" wrapText="1" indent="5"/>
    </xf>
    <xf numFmtId="0" fontId="32" fillId="0" borderId="0" xfId="3" applyFont="1" applyAlignment="1">
      <alignment horizontal="left" indent="5"/>
    </xf>
    <xf numFmtId="0" fontId="13" fillId="0" borderId="0" xfId="3" applyFont="1" applyAlignment="1">
      <alignment horizontal="left" vertical="center"/>
    </xf>
    <xf numFmtId="0" fontId="32" fillId="0" borderId="0" xfId="3" applyFont="1" applyAlignment="1">
      <alignment horizontal="left" wrapText="1"/>
    </xf>
    <xf numFmtId="0" fontId="13" fillId="0" borderId="0" xfId="3" applyFont="1" applyAlignment="1">
      <alignment horizontal="left"/>
    </xf>
    <xf numFmtId="0" fontId="73" fillId="0" borderId="0" xfId="0" quotePrefix="1" applyNumberFormat="1" applyFont="1" applyAlignment="1">
      <alignment horizontal="left" vertical="top" wrapText="1"/>
    </xf>
    <xf numFmtId="0" fontId="59" fillId="0" borderId="5" xfId="0" applyFont="1" applyBorder="1" applyAlignment="1">
      <alignment horizontal="left"/>
    </xf>
    <xf numFmtId="0" fontId="59" fillId="0" borderId="0" xfId="0" applyFont="1" applyAlignment="1">
      <alignment horizontal="left"/>
    </xf>
    <xf numFmtId="0" fontId="44" fillId="0" borderId="0" xfId="0" applyFont="1" applyAlignment="1">
      <alignment horizontal="left" vertical="center"/>
    </xf>
    <xf numFmtId="0" fontId="59" fillId="0" borderId="26" xfId="0" applyFont="1" applyBorder="1" applyAlignment="1">
      <alignment horizontal="left" vertical="top"/>
    </xf>
    <xf numFmtId="0" fontId="59" fillId="0" borderId="0" xfId="0" applyFont="1" applyAlignment="1">
      <alignment horizontal="left" vertical="top"/>
    </xf>
    <xf numFmtId="0" fontId="57" fillId="0" borderId="0" xfId="0" applyNumberFormat="1" applyFont="1" applyAlignment="1">
      <alignment horizontal="left" vertical="top" wrapText="1"/>
    </xf>
    <xf numFmtId="9" fontId="54" fillId="3" borderId="0" xfId="2" applyFont="1" applyFill="1" applyAlignment="1">
      <alignment horizontal="center"/>
    </xf>
    <xf numFmtId="0" fontId="54" fillId="0" borderId="0" xfId="0" applyFont="1" applyBorder="1" applyAlignment="1">
      <alignment horizontal="left"/>
    </xf>
    <xf numFmtId="0" fontId="44" fillId="0" borderId="0" xfId="0" applyFont="1" applyAlignment="1">
      <alignment horizontal="left"/>
    </xf>
    <xf numFmtId="0" fontId="72" fillId="3" borderId="0" xfId="0" applyFont="1" applyFill="1" applyBorder="1" applyAlignment="1">
      <alignment horizontal="center" vertical="center"/>
    </xf>
    <xf numFmtId="0" fontId="44" fillId="0" borderId="5" xfId="0" applyFont="1" applyBorder="1" applyAlignment="1">
      <alignment horizontal="center"/>
    </xf>
    <xf numFmtId="0" fontId="44" fillId="0" borderId="0" xfId="0" applyFont="1" applyBorder="1" applyAlignment="1">
      <alignment horizontal="center"/>
    </xf>
    <xf numFmtId="0" fontId="44" fillId="0" borderId="0" xfId="3" applyFont="1" applyAlignment="1">
      <alignment horizontal="center" vertical="top"/>
    </xf>
    <xf numFmtId="3" fontId="44" fillId="0" borderId="24" xfId="0" applyNumberFormat="1" applyFont="1" applyBorder="1" applyAlignment="1">
      <alignment horizontal="center" vertical="center"/>
    </xf>
    <xf numFmtId="3" fontId="44" fillId="0" borderId="25" xfId="0" applyNumberFormat="1" applyFont="1" applyBorder="1" applyAlignment="1">
      <alignment horizontal="center" vertical="center"/>
    </xf>
    <xf numFmtId="0" fontId="40" fillId="4" borderId="11" xfId="0" applyFont="1" applyFill="1" applyBorder="1" applyAlignment="1">
      <alignment horizontal="center" vertical="center" wrapText="1"/>
    </xf>
    <xf numFmtId="0" fontId="40" fillId="4" borderId="12" xfId="0" applyFont="1" applyFill="1" applyBorder="1" applyAlignment="1">
      <alignment horizontal="center" vertical="center" wrapText="1"/>
    </xf>
    <xf numFmtId="0" fontId="40" fillId="4" borderId="13" xfId="0" applyFont="1" applyFill="1" applyBorder="1" applyAlignment="1">
      <alignment horizontal="center" vertical="center" wrapText="1"/>
    </xf>
    <xf numFmtId="0" fontId="56" fillId="0" borderId="0" xfId="0" applyFont="1" applyAlignment="1">
      <alignment horizontal="left" vertical="top" wrapText="1"/>
    </xf>
    <xf numFmtId="0" fontId="53" fillId="4" borderId="2"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53" fillId="4" borderId="4" xfId="0" applyFont="1" applyFill="1" applyBorder="1" applyAlignment="1">
      <alignment horizontal="center" vertical="center" wrapText="1"/>
    </xf>
    <xf numFmtId="0" fontId="51" fillId="4" borderId="2" xfId="0" applyFont="1" applyFill="1" applyBorder="1" applyAlignment="1">
      <alignment horizontal="center" vertical="center" wrapText="1"/>
    </xf>
    <xf numFmtId="0" fontId="51" fillId="4" borderId="3" xfId="0" applyFont="1" applyFill="1" applyBorder="1" applyAlignment="1">
      <alignment horizontal="center" vertical="center" wrapText="1"/>
    </xf>
    <xf numFmtId="0" fontId="51" fillId="4" borderId="4" xfId="0" applyFont="1" applyFill="1" applyBorder="1" applyAlignment="1">
      <alignment horizontal="center" vertical="center" wrapText="1"/>
    </xf>
    <xf numFmtId="0" fontId="52" fillId="7" borderId="2" xfId="0" applyFont="1" applyFill="1" applyBorder="1" applyAlignment="1">
      <alignment horizontal="center" vertical="center" wrapText="1"/>
    </xf>
    <xf numFmtId="0" fontId="52" fillId="7" borderId="3" xfId="0" applyFont="1" applyFill="1" applyBorder="1" applyAlignment="1">
      <alignment horizontal="center" vertical="center" wrapText="1"/>
    </xf>
    <xf numFmtId="0" fontId="52" fillId="7" borderId="4" xfId="0" applyFont="1" applyFill="1" applyBorder="1" applyAlignment="1">
      <alignment horizontal="center" vertical="center" wrapText="1"/>
    </xf>
    <xf numFmtId="0" fontId="41" fillId="3" borderId="45"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55" fillId="3" borderId="11" xfId="0" applyFont="1" applyFill="1" applyBorder="1" applyAlignment="1">
      <alignment horizontal="center"/>
    </xf>
    <xf numFmtId="0" fontId="55" fillId="3" borderId="12" xfId="0" applyFont="1" applyFill="1" applyBorder="1" applyAlignment="1">
      <alignment horizontal="center"/>
    </xf>
    <xf numFmtId="0" fontId="55" fillId="3" borderId="13" xfId="0" applyFont="1" applyFill="1" applyBorder="1" applyAlignment="1">
      <alignment horizontal="center"/>
    </xf>
    <xf numFmtId="0" fontId="60" fillId="3" borderId="11" xfId="0" applyFont="1" applyFill="1" applyBorder="1" applyAlignment="1">
      <alignment horizontal="center"/>
    </xf>
    <xf numFmtId="0" fontId="60" fillId="3" borderId="12" xfId="0" applyFont="1" applyFill="1" applyBorder="1" applyAlignment="1">
      <alignment horizontal="center"/>
    </xf>
    <xf numFmtId="0" fontId="60" fillId="3" borderId="13" xfId="0" applyFont="1" applyFill="1" applyBorder="1" applyAlignment="1">
      <alignment horizontal="center"/>
    </xf>
    <xf numFmtId="0" fontId="44" fillId="0" borderId="0" xfId="0" applyFont="1" applyAlignment="1">
      <alignment horizontal="left" vertical="top" wrapText="1"/>
    </xf>
    <xf numFmtId="37" fontId="54" fillId="3" borderId="0" xfId="1" quotePrefix="1" applyNumberFormat="1" applyFont="1" applyFill="1" applyAlignment="1">
      <alignment horizontal="center"/>
    </xf>
    <xf numFmtId="37" fontId="54" fillId="3" borderId="0" xfId="1" applyNumberFormat="1" applyFont="1" applyFill="1" applyAlignment="1">
      <alignment horizontal="center"/>
    </xf>
    <xf numFmtId="0" fontId="43" fillId="0" borderId="2" xfId="0" applyFont="1" applyBorder="1" applyAlignment="1">
      <alignment horizontal="center"/>
    </xf>
    <xf numFmtId="0" fontId="43" fillId="0" borderId="3" xfId="0" applyFont="1" applyBorder="1" applyAlignment="1">
      <alignment horizontal="center"/>
    </xf>
    <xf numFmtId="0" fontId="43" fillId="0" borderId="4" xfId="0" applyFont="1" applyBorder="1" applyAlignment="1">
      <alignment horizontal="center"/>
    </xf>
    <xf numFmtId="0" fontId="44" fillId="0" borderId="5" xfId="0" applyFont="1" applyBorder="1" applyAlignment="1">
      <alignment horizontal="left"/>
    </xf>
    <xf numFmtId="0" fontId="44" fillId="0" borderId="0" xfId="0" applyFont="1" applyBorder="1" applyAlignment="1">
      <alignment horizontal="left"/>
    </xf>
    <xf numFmtId="0" fontId="53" fillId="4" borderId="0" xfId="0" applyFont="1" applyFill="1" applyAlignment="1">
      <alignment horizontal="center" vertical="center" wrapText="1"/>
    </xf>
    <xf numFmtId="0" fontId="63" fillId="4" borderId="8" xfId="0" applyFont="1" applyFill="1" applyBorder="1" applyAlignment="1">
      <alignment horizontal="center" vertical="top" wrapText="1"/>
    </xf>
    <xf numFmtId="0" fontId="37" fillId="3" borderId="0" xfId="0" applyFont="1" applyFill="1" applyAlignment="1">
      <alignment horizontal="left"/>
    </xf>
    <xf numFmtId="0" fontId="65" fillId="0" borderId="0" xfId="0" applyFont="1" applyAlignment="1">
      <alignment horizontal="center"/>
    </xf>
    <xf numFmtId="0" fontId="37" fillId="0" borderId="0" xfId="0" applyFont="1" applyAlignment="1">
      <alignment horizontal="center" vertical="top"/>
    </xf>
    <xf numFmtId="0" fontId="37" fillId="0" borderId="0" xfId="0" applyFont="1" applyAlignment="1">
      <alignment horizontal="left" vertical="top" wrapText="1"/>
    </xf>
    <xf numFmtId="0" fontId="37" fillId="3" borderId="0" xfId="0" applyFont="1" applyFill="1" applyAlignment="1">
      <alignment horizontal="left" wrapText="1"/>
    </xf>
    <xf numFmtId="0" fontId="37" fillId="3" borderId="0" xfId="0" applyFont="1" applyFill="1" applyAlignment="1">
      <alignment horizontal="left" vertical="top"/>
    </xf>
    <xf numFmtId="0" fontId="37" fillId="3" borderId="0" xfId="0" applyFont="1" applyFill="1" applyAlignment="1">
      <alignment horizontal="left" vertical="center"/>
    </xf>
    <xf numFmtId="0" fontId="49" fillId="4" borderId="33" xfId="0" applyFont="1" applyFill="1" applyBorder="1" applyAlignment="1">
      <alignment horizontal="center" vertical="center"/>
    </xf>
    <xf numFmtId="0" fontId="49" fillId="4" borderId="34" xfId="0" applyFont="1" applyFill="1" applyBorder="1" applyAlignment="1">
      <alignment horizontal="center" vertical="center"/>
    </xf>
    <xf numFmtId="0" fontId="64" fillId="4" borderId="12" xfId="0" applyFont="1" applyFill="1" applyBorder="1" applyAlignment="1">
      <alignment horizontal="center" vertical="center"/>
    </xf>
    <xf numFmtId="0" fontId="64" fillId="4" borderId="13" xfId="0" applyFont="1" applyFill="1" applyBorder="1" applyAlignment="1">
      <alignment horizontal="center" vertical="center"/>
    </xf>
    <xf numFmtId="0" fontId="39" fillId="0" borderId="0" xfId="0" applyFont="1" applyAlignment="1">
      <alignment horizontal="left" vertical="top" wrapText="1"/>
    </xf>
    <xf numFmtId="0" fontId="87" fillId="0" borderId="0" xfId="0" applyFont="1" applyAlignment="1">
      <alignment horizontal="left" vertical="top" wrapText="1"/>
    </xf>
    <xf numFmtId="168" fontId="70" fillId="0" borderId="0" xfId="1" applyNumberFormat="1" applyFont="1" applyAlignment="1">
      <alignment horizontal="center" vertical="center"/>
    </xf>
    <xf numFmtId="168" fontId="85" fillId="0" borderId="0" xfId="1" applyNumberFormat="1" applyFont="1" applyBorder="1" applyAlignment="1">
      <alignment horizontal="center" vertical="top" wrapText="1"/>
    </xf>
    <xf numFmtId="0" fontId="66" fillId="3" borderId="2" xfId="0" applyFont="1" applyFill="1" applyBorder="1" applyAlignment="1">
      <alignment wrapText="1"/>
    </xf>
    <xf numFmtId="0" fontId="66" fillId="3" borderId="3" xfId="0" applyFont="1" applyFill="1" applyBorder="1" applyAlignment="1">
      <alignment wrapText="1"/>
    </xf>
    <xf numFmtId="0" fontId="66" fillId="3" borderId="2" xfId="0" applyFont="1" applyFill="1" applyBorder="1" applyAlignment="1">
      <alignment horizontal="center" wrapText="1"/>
    </xf>
    <xf numFmtId="0" fontId="66" fillId="3" borderId="3" xfId="0" applyFont="1" applyFill="1" applyBorder="1" applyAlignment="1">
      <alignment horizontal="center" wrapText="1"/>
    </xf>
    <xf numFmtId="168" fontId="66" fillId="3" borderId="50" xfId="1" applyNumberFormat="1" applyFont="1" applyFill="1" applyBorder="1" applyAlignment="1">
      <alignment horizontal="center" wrapText="1"/>
    </xf>
    <xf numFmtId="168" fontId="86" fillId="3" borderId="46" xfId="1" applyNumberFormat="1" applyFont="1" applyFill="1" applyBorder="1" applyAlignment="1">
      <alignment horizontal="center" vertical="center"/>
    </xf>
    <xf numFmtId="168" fontId="86" fillId="3" borderId="48" xfId="1" applyNumberFormat="1" applyFont="1" applyFill="1" applyBorder="1" applyAlignment="1">
      <alignment horizontal="center" vertical="center"/>
    </xf>
    <xf numFmtId="168" fontId="86" fillId="3" borderId="51" xfId="1" applyNumberFormat="1" applyFont="1" applyFill="1" applyBorder="1" applyAlignment="1">
      <alignment horizontal="center" vertical="center"/>
    </xf>
    <xf numFmtId="168" fontId="86" fillId="3" borderId="52" xfId="1" applyNumberFormat="1" applyFont="1" applyFill="1" applyBorder="1" applyAlignment="1">
      <alignment horizontal="center" vertical="center"/>
    </xf>
    <xf numFmtId="0" fontId="25" fillId="0" borderId="2" xfId="0" applyFont="1" applyFill="1" applyBorder="1" applyAlignment="1" applyProtection="1">
      <alignment horizontal="left" vertical="top" wrapText="1"/>
      <protection locked="0"/>
    </xf>
    <xf numFmtId="0" fontId="25" fillId="0" borderId="3" xfId="0" applyFont="1" applyFill="1" applyBorder="1" applyAlignment="1" applyProtection="1">
      <alignment horizontal="left" vertical="top" wrapText="1"/>
      <protection locked="0"/>
    </xf>
    <xf numFmtId="0" fontId="25" fillId="0" borderId="4" xfId="0" applyFont="1" applyFill="1" applyBorder="1" applyAlignment="1" applyProtection="1">
      <alignment horizontal="left" vertical="top" wrapText="1"/>
      <protection locked="0"/>
    </xf>
    <xf numFmtId="0" fontId="25" fillId="0" borderId="5" xfId="0" applyFont="1" applyFill="1" applyBorder="1" applyAlignment="1" applyProtection="1">
      <alignment horizontal="left" vertical="top" wrapText="1"/>
      <protection locked="0"/>
    </xf>
    <xf numFmtId="0" fontId="25" fillId="0" borderId="0" xfId="0" applyFont="1" applyFill="1" applyBorder="1" applyAlignment="1" applyProtection="1">
      <alignment horizontal="left" vertical="top" wrapText="1"/>
      <protection locked="0"/>
    </xf>
    <xf numFmtId="0" fontId="25" fillId="0" borderId="6" xfId="0" applyFont="1" applyFill="1" applyBorder="1" applyAlignment="1" applyProtection="1">
      <alignment horizontal="left" vertical="top" wrapText="1"/>
      <protection locked="0"/>
    </xf>
    <xf numFmtId="0" fontId="25" fillId="0" borderId="7" xfId="0" applyFont="1" applyFill="1" applyBorder="1" applyAlignment="1" applyProtection="1">
      <alignment horizontal="left" vertical="top" wrapText="1"/>
      <protection locked="0"/>
    </xf>
    <xf numFmtId="0" fontId="25" fillId="0" borderId="8" xfId="0" applyFont="1" applyFill="1" applyBorder="1" applyAlignment="1" applyProtection="1">
      <alignment horizontal="left" vertical="top" wrapText="1"/>
      <protection locked="0"/>
    </xf>
    <xf numFmtId="0" fontId="25" fillId="0" borderId="9" xfId="0" applyFont="1" applyFill="1" applyBorder="1" applyAlignment="1" applyProtection="1">
      <alignment horizontal="left" vertical="top" wrapText="1"/>
      <protection locked="0"/>
    </xf>
    <xf numFmtId="0" fontId="24" fillId="4" borderId="2" xfId="0" applyFont="1" applyFill="1" applyBorder="1" applyAlignment="1">
      <alignment horizontal="center"/>
    </xf>
    <xf numFmtId="0" fontId="24" fillId="4" borderId="3" xfId="0" applyFont="1" applyFill="1" applyBorder="1" applyAlignment="1">
      <alignment horizontal="center"/>
    </xf>
    <xf numFmtId="0" fontId="24" fillId="4" borderId="4" xfId="0" applyFont="1" applyFill="1" applyBorder="1" applyAlignment="1">
      <alignment horizontal="center"/>
    </xf>
    <xf numFmtId="9" fontId="25" fillId="0" borderId="7" xfId="5" applyFont="1" applyFill="1" applyBorder="1" applyAlignment="1" applyProtection="1">
      <alignment horizontal="left" vertical="center"/>
    </xf>
    <xf numFmtId="9" fontId="25" fillId="0" borderId="8" xfId="5" applyFont="1" applyFill="1" applyBorder="1" applyAlignment="1" applyProtection="1">
      <alignment horizontal="left" vertical="center"/>
    </xf>
    <xf numFmtId="0" fontId="25" fillId="0" borderId="11" xfId="0" applyFont="1" applyBorder="1" applyAlignment="1" applyProtection="1">
      <alignment horizontal="left" vertical="top"/>
      <protection locked="0"/>
    </xf>
    <xf numFmtId="0" fontId="25" fillId="0" borderId="12" xfId="0" applyFont="1" applyBorder="1" applyAlignment="1" applyProtection="1">
      <alignment horizontal="left" vertical="top"/>
      <protection locked="0"/>
    </xf>
    <xf numFmtId="0" fontId="25" fillId="0" borderId="13" xfId="0" applyFont="1" applyBorder="1" applyAlignment="1" applyProtection="1">
      <alignment horizontal="left" vertical="top"/>
      <protection locked="0"/>
    </xf>
    <xf numFmtId="0" fontId="20" fillId="3" borderId="20" xfId="0" applyFont="1" applyFill="1" applyBorder="1" applyAlignment="1">
      <alignment horizontal="center" vertical="center" textRotation="90"/>
    </xf>
    <xf numFmtId="0" fontId="20" fillId="3" borderId="21" xfId="0" applyFont="1" applyFill="1" applyBorder="1" applyAlignment="1">
      <alignment horizontal="center" vertical="center" textRotation="90"/>
    </xf>
    <xf numFmtId="0" fontId="20" fillId="3" borderId="22" xfId="0" applyFont="1" applyFill="1" applyBorder="1" applyAlignment="1">
      <alignment horizontal="center" vertical="center" textRotation="90"/>
    </xf>
    <xf numFmtId="0" fontId="20" fillId="0" borderId="5"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5" fillId="0" borderId="12" xfId="0" applyFont="1" applyFill="1" applyBorder="1" applyAlignment="1" applyProtection="1">
      <alignment horizontal="left" vertical="top"/>
      <protection locked="0"/>
    </xf>
    <xf numFmtId="0" fontId="25" fillId="0" borderId="13" xfId="0" applyFont="1" applyFill="1" applyBorder="1" applyAlignment="1" applyProtection="1">
      <alignment horizontal="left" vertical="top"/>
      <protection locked="0"/>
    </xf>
    <xf numFmtId="0" fontId="25" fillId="0" borderId="11" xfId="0" applyFont="1" applyFill="1" applyBorder="1" applyAlignment="1" applyProtection="1">
      <alignment horizontal="left" vertical="top"/>
      <protection locked="0"/>
    </xf>
    <xf numFmtId="37" fontId="25" fillId="0" borderId="11" xfId="4" applyNumberFormat="1" applyFont="1" applyFill="1" applyBorder="1" applyAlignment="1" applyProtection="1">
      <alignment horizontal="left" vertical="top"/>
      <protection locked="0"/>
    </xf>
    <xf numFmtId="37" fontId="25" fillId="0" borderId="12" xfId="4" applyNumberFormat="1" applyFont="1" applyFill="1" applyBorder="1" applyAlignment="1" applyProtection="1">
      <alignment horizontal="left" vertical="top"/>
      <protection locked="0"/>
    </xf>
    <xf numFmtId="0" fontId="88" fillId="4" borderId="7" xfId="0" applyFont="1" applyFill="1" applyBorder="1" applyAlignment="1">
      <alignment horizontal="center" vertical="top"/>
    </xf>
    <xf numFmtId="0" fontId="88" fillId="4" borderId="8" xfId="0" applyFont="1" applyFill="1" applyBorder="1" applyAlignment="1">
      <alignment horizontal="center" vertical="top"/>
    </xf>
    <xf numFmtId="0" fontId="88" fillId="4" borderId="9" xfId="0" applyFont="1" applyFill="1" applyBorder="1" applyAlignment="1">
      <alignment horizontal="center" vertical="top"/>
    </xf>
    <xf numFmtId="168" fontId="23" fillId="6" borderId="11" xfId="1" applyNumberFormat="1" applyFont="1" applyFill="1" applyBorder="1" applyAlignment="1">
      <alignment horizontal="center" vertical="center"/>
    </xf>
    <xf numFmtId="168" fontId="23" fillId="6" borderId="13" xfId="1" applyNumberFormat="1" applyFont="1" applyFill="1" applyBorder="1" applyAlignment="1">
      <alignment horizontal="center" vertical="center"/>
    </xf>
  </cellXfs>
  <cellStyles count="7">
    <cellStyle name="Comma" xfId="1" builtinId="3"/>
    <cellStyle name="Comma 2" xfId="4"/>
    <cellStyle name="Currency" xfId="6" builtinId="4"/>
    <cellStyle name="Normal" xfId="0" builtinId="0"/>
    <cellStyle name="Normal 2" xfId="3"/>
    <cellStyle name="Percent" xfId="2" builtinId="5"/>
    <cellStyle name="Percent 2" xfId="5"/>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checked="Checked" fmlaLink="$E$9"/>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2.xml><?xml version="1.0" encoding="utf-8"?>
<formControlPr xmlns="http://schemas.microsoft.com/office/spreadsheetml/2009/9/main" objectType="CheckBox" fmlaLink="$E$11"/>
</file>

<file path=xl/ctrlProps/ctrlProp3.xml><?xml version="1.0" encoding="utf-8"?>
<formControlPr xmlns="http://schemas.microsoft.com/office/spreadsheetml/2009/9/main" objectType="CheckBox" checked="Checked" fmlaLink="$J$9"/>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276225</xdr:colOff>
      <xdr:row>2</xdr:row>
      <xdr:rowOff>114299</xdr:rowOff>
    </xdr:from>
    <xdr:to>
      <xdr:col>6</xdr:col>
      <xdr:colOff>714374</xdr:colOff>
      <xdr:row>2</xdr:row>
      <xdr:rowOff>1631582</xdr:rowOff>
    </xdr:to>
    <xdr:pic>
      <xdr:nvPicPr>
        <xdr:cNvPr id="3" name="Picture 1" descr="MPj04024510000[1]"/>
        <xdr:cNvPicPr>
          <a:picLocks noChangeAspect="1" noChangeArrowheads="1"/>
        </xdr:cNvPicPr>
      </xdr:nvPicPr>
      <xdr:blipFill>
        <a:blip xmlns:r="http://schemas.openxmlformats.org/officeDocument/2006/relationships" r:embed="rId1" cstate="print"/>
        <a:srcRect/>
        <a:stretch>
          <a:fillRect/>
        </a:stretch>
      </xdr:blipFill>
      <xdr:spPr bwMode="auto">
        <a:xfrm>
          <a:off x="4191000" y="571499"/>
          <a:ext cx="2057399" cy="1517283"/>
        </a:xfrm>
        <a:prstGeom prst="rect">
          <a:avLst/>
        </a:prstGeom>
        <a:noFill/>
        <a:ln w="25400" algn="ctr">
          <a:solidFill>
            <a:schemeClr val="accent3">
              <a:lumMod val="50000"/>
            </a:schemeClr>
          </a:solidFill>
          <a:miter lim="800000"/>
          <a:headEnd/>
          <a:tailEnd/>
        </a:ln>
      </xdr:spPr>
    </xdr:pic>
    <xdr:clientData/>
  </xdr:twoCellAnchor>
  <xdr:twoCellAnchor>
    <xdr:from>
      <xdr:col>4</xdr:col>
      <xdr:colOff>800100</xdr:colOff>
      <xdr:row>8</xdr:row>
      <xdr:rowOff>57150</xdr:rowOff>
    </xdr:from>
    <xdr:to>
      <xdr:col>6</xdr:col>
      <xdr:colOff>771525</xdr:colOff>
      <xdr:row>10</xdr:row>
      <xdr:rowOff>123825</xdr:rowOff>
    </xdr:to>
    <xdr:pic>
      <xdr:nvPicPr>
        <xdr:cNvPr id="5121" name="Picture 1" descr="Pru_bw(rgb)"/>
        <xdr:cNvPicPr>
          <a:picLocks noChangeAspect="1" noChangeArrowheads="1"/>
        </xdr:cNvPicPr>
      </xdr:nvPicPr>
      <xdr:blipFill>
        <a:blip xmlns:r="http://schemas.openxmlformats.org/officeDocument/2006/relationships" r:embed="rId2" cstate="print"/>
        <a:srcRect/>
        <a:stretch>
          <a:fillRect/>
        </a:stretch>
      </xdr:blipFill>
      <xdr:spPr bwMode="auto">
        <a:xfrm>
          <a:off x="4581525" y="7620000"/>
          <a:ext cx="1590675"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10</xdr:row>
      <xdr:rowOff>85725</xdr:rowOff>
    </xdr:from>
    <xdr:to>
      <xdr:col>8</xdr:col>
      <xdr:colOff>9525</xdr:colOff>
      <xdr:row>10</xdr:row>
      <xdr:rowOff>85726</xdr:rowOff>
    </xdr:to>
    <xdr:cxnSp macro="">
      <xdr:nvCxnSpPr>
        <xdr:cNvPr id="4" name="Straight Arrow Connector 3"/>
        <xdr:cNvCxnSpPr/>
      </xdr:nvCxnSpPr>
      <xdr:spPr>
        <a:xfrm>
          <a:off x="3181350" y="1743075"/>
          <a:ext cx="1333500"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10</xdr:row>
      <xdr:rowOff>133353</xdr:rowOff>
    </xdr:from>
    <xdr:to>
      <xdr:col>7</xdr:col>
      <xdr:colOff>333375</xdr:colOff>
      <xdr:row>11</xdr:row>
      <xdr:rowOff>95250</xdr:rowOff>
    </xdr:to>
    <xdr:cxnSp macro="">
      <xdr:nvCxnSpPr>
        <xdr:cNvPr id="12" name="Straight Arrow Connector 11"/>
        <xdr:cNvCxnSpPr/>
      </xdr:nvCxnSpPr>
      <xdr:spPr>
        <a:xfrm flipV="1">
          <a:off x="3181350" y="1790703"/>
          <a:ext cx="1228725" cy="1238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457199</xdr:colOff>
      <xdr:row>13</xdr:row>
      <xdr:rowOff>19050</xdr:rowOff>
    </xdr:from>
    <xdr:to>
      <xdr:col>9</xdr:col>
      <xdr:colOff>514348</xdr:colOff>
      <xdr:row>14</xdr:row>
      <xdr:rowOff>57153</xdr:rowOff>
    </xdr:to>
    <xdr:cxnSp macro="">
      <xdr:nvCxnSpPr>
        <xdr:cNvPr id="6" name="Straight Arrow Connector 5"/>
        <xdr:cNvCxnSpPr/>
      </xdr:nvCxnSpPr>
      <xdr:spPr>
        <a:xfrm rot="16200000" flipH="1">
          <a:off x="4833935" y="2233614"/>
          <a:ext cx="200028" cy="571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12</xdr:row>
      <xdr:rowOff>76200</xdr:rowOff>
    </xdr:from>
    <xdr:to>
      <xdr:col>8</xdr:col>
      <xdr:colOff>19050</xdr:colOff>
      <xdr:row>12</xdr:row>
      <xdr:rowOff>86776</xdr:rowOff>
    </xdr:to>
    <xdr:cxnSp macro="">
      <xdr:nvCxnSpPr>
        <xdr:cNvPr id="8" name="Straight Arrow Connector 7"/>
        <xdr:cNvCxnSpPr/>
      </xdr:nvCxnSpPr>
      <xdr:spPr>
        <a:xfrm flipV="1">
          <a:off x="3181350" y="2057400"/>
          <a:ext cx="1343025" cy="105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152400</xdr:colOff>
      <xdr:row>11</xdr:row>
      <xdr:rowOff>0</xdr:rowOff>
    </xdr:from>
    <xdr:to>
      <xdr:col>12</xdr:col>
      <xdr:colOff>57150</xdr:colOff>
      <xdr:row>11</xdr:row>
      <xdr:rowOff>0</xdr:rowOff>
    </xdr:to>
    <xdr:cxnSp macro="">
      <xdr:nvCxnSpPr>
        <xdr:cNvPr id="11" name="Straight Connector 10"/>
        <xdr:cNvCxnSpPr/>
      </xdr:nvCxnSpPr>
      <xdr:spPr>
        <a:xfrm>
          <a:off x="5876925" y="1819275"/>
          <a:ext cx="7905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342901</xdr:colOff>
      <xdr:row>7</xdr:row>
      <xdr:rowOff>38098</xdr:rowOff>
    </xdr:from>
    <xdr:to>
      <xdr:col>8</xdr:col>
      <xdr:colOff>28575</xdr:colOff>
      <xdr:row>9</xdr:row>
      <xdr:rowOff>28577</xdr:rowOff>
    </xdr:to>
    <xdr:cxnSp macro="">
      <xdr:nvCxnSpPr>
        <xdr:cNvPr id="10" name="Straight Arrow Connector 9"/>
        <xdr:cNvCxnSpPr/>
      </xdr:nvCxnSpPr>
      <xdr:spPr>
        <a:xfrm rot="16200000" flipH="1">
          <a:off x="4271961" y="1281113"/>
          <a:ext cx="314329" cy="114299"/>
        </a:xfrm>
        <a:prstGeom prst="straightConnector1">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393700</xdr:colOff>
          <xdr:row>7</xdr:row>
          <xdr:rowOff>152400</xdr:rowOff>
        </xdr:from>
        <xdr:to>
          <xdr:col>4</xdr:col>
          <xdr:colOff>952500</xdr:colOff>
          <xdr:row>9</xdr:row>
          <xdr:rowOff>76200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xdr:row>
          <xdr:rowOff>215900</xdr:rowOff>
        </xdr:from>
        <xdr:to>
          <xdr:col>4</xdr:col>
          <xdr:colOff>787400</xdr:colOff>
          <xdr:row>11</xdr:row>
          <xdr:rowOff>38100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393700</xdr:colOff>
          <xdr:row>7</xdr:row>
          <xdr:rowOff>152400</xdr:rowOff>
        </xdr:from>
        <xdr:to>
          <xdr:col>9</xdr:col>
          <xdr:colOff>952500</xdr:colOff>
          <xdr:row>9</xdr:row>
          <xdr:rowOff>76200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1781735</xdr:colOff>
      <xdr:row>12</xdr:row>
      <xdr:rowOff>208692</xdr:rowOff>
    </xdr:from>
    <xdr:to>
      <xdr:col>1</xdr:col>
      <xdr:colOff>2956111</xdr:colOff>
      <xdr:row>15</xdr:row>
      <xdr:rowOff>190499</xdr:rowOff>
    </xdr:to>
    <xdr:pic>
      <xdr:nvPicPr>
        <xdr:cNvPr id="3" name="Picture 1" descr="iStock_000001761243Small_GiftEnv.jpg"/>
        <xdr:cNvPicPr>
          <a:picLocks noChangeAspect="1"/>
        </xdr:cNvPicPr>
      </xdr:nvPicPr>
      <xdr:blipFill>
        <a:blip xmlns:r="http://schemas.openxmlformats.org/officeDocument/2006/relationships" r:embed="rId1" cstate="print"/>
        <a:srcRect/>
        <a:stretch>
          <a:fillRect/>
        </a:stretch>
      </xdr:blipFill>
      <xdr:spPr bwMode="auto">
        <a:xfrm>
          <a:off x="1972235" y="2718810"/>
          <a:ext cx="1174376" cy="799836"/>
        </a:xfrm>
        <a:prstGeom prst="rect">
          <a:avLst/>
        </a:prstGeom>
        <a:noFill/>
        <a:ln w="9525">
          <a:noFill/>
          <a:miter lim="800000"/>
          <a:headEnd/>
          <a:tailEnd/>
        </a:ln>
      </xdr:spPr>
    </xdr:pic>
    <xdr:clientData/>
  </xdr:twoCellAnchor>
  <xdr:twoCellAnchor>
    <xdr:from>
      <xdr:col>3</xdr:col>
      <xdr:colOff>95250</xdr:colOff>
      <xdr:row>17</xdr:row>
      <xdr:rowOff>19050</xdr:rowOff>
    </xdr:from>
    <xdr:to>
      <xdr:col>3</xdr:col>
      <xdr:colOff>381000</xdr:colOff>
      <xdr:row>20</xdr:row>
      <xdr:rowOff>238125</xdr:rowOff>
    </xdr:to>
    <xdr:sp macro="" textlink="">
      <xdr:nvSpPr>
        <xdr:cNvPr id="4" name="Right Brace 3"/>
        <xdr:cNvSpPr/>
      </xdr:nvSpPr>
      <xdr:spPr>
        <a:xfrm>
          <a:off x="4457700" y="3600450"/>
          <a:ext cx="285750" cy="990600"/>
        </a:xfrm>
        <a:prstGeom prst="rightBrace">
          <a:avLst>
            <a:gd name="adj1" fmla="val 0"/>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266700</xdr:colOff>
      <xdr:row>35</xdr:row>
      <xdr:rowOff>152400</xdr:rowOff>
    </xdr:from>
    <xdr:to>
      <xdr:col>4</xdr:col>
      <xdr:colOff>885825</xdr:colOff>
      <xdr:row>36</xdr:row>
      <xdr:rowOff>180975</xdr:rowOff>
    </xdr:to>
    <xdr:pic>
      <xdr:nvPicPr>
        <xdr:cNvPr id="3101" name="Picture 29" descr="Pru_bw(rgb)"/>
        <xdr:cNvPicPr>
          <a:picLocks noChangeAspect="1" noChangeArrowheads="1"/>
        </xdr:cNvPicPr>
      </xdr:nvPicPr>
      <xdr:blipFill>
        <a:blip xmlns:r="http://schemas.openxmlformats.org/officeDocument/2006/relationships" r:embed="rId2" cstate="print"/>
        <a:srcRect/>
        <a:stretch>
          <a:fillRect/>
        </a:stretch>
      </xdr:blipFill>
      <xdr:spPr bwMode="auto">
        <a:xfrm>
          <a:off x="4629150" y="7953375"/>
          <a:ext cx="1590675" cy="4857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685800</xdr:colOff>
          <xdr:row>12</xdr:row>
          <xdr:rowOff>38100</xdr:rowOff>
        </xdr:from>
        <xdr:to>
          <xdr:col>2</xdr:col>
          <xdr:colOff>1257300</xdr:colOff>
          <xdr:row>12</xdr:row>
          <xdr:rowOff>393700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698500</xdr:colOff>
          <xdr:row>10</xdr:row>
          <xdr:rowOff>0</xdr:rowOff>
        </xdr:from>
        <xdr:to>
          <xdr:col>2</xdr:col>
          <xdr:colOff>1270000</xdr:colOff>
          <xdr:row>11</xdr:row>
          <xdr:rowOff>12700</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13</xdr:row>
          <xdr:rowOff>12700</xdr:rowOff>
        </xdr:from>
        <xdr:to>
          <xdr:col>4</xdr:col>
          <xdr:colOff>1041400</xdr:colOff>
          <xdr:row>14</xdr:row>
          <xdr:rowOff>25400</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330200</xdr:rowOff>
        </xdr:from>
        <xdr:to>
          <xdr:col>4</xdr:col>
          <xdr:colOff>1028700</xdr:colOff>
          <xdr:row>15</xdr:row>
          <xdr:rowOff>0</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15</xdr:row>
          <xdr:rowOff>0</xdr:rowOff>
        </xdr:from>
        <xdr:to>
          <xdr:col>4</xdr:col>
          <xdr:colOff>1041400</xdr:colOff>
          <xdr:row>16</xdr:row>
          <xdr:rowOff>12700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711200</xdr:colOff>
          <xdr:row>16</xdr:row>
          <xdr:rowOff>330200</xdr:rowOff>
        </xdr:from>
        <xdr:to>
          <xdr:col>2</xdr:col>
          <xdr:colOff>1282700</xdr:colOff>
          <xdr:row>18</xdr:row>
          <xdr:rowOff>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13</xdr:row>
          <xdr:rowOff>12700</xdr:rowOff>
        </xdr:from>
        <xdr:to>
          <xdr:col>3</xdr:col>
          <xdr:colOff>1066800</xdr:colOff>
          <xdr:row>14</xdr:row>
          <xdr:rowOff>25400</xdr:rowOff>
        </xdr:to>
        <xdr:sp macro="" textlink="">
          <xdr:nvSpPr>
            <xdr:cNvPr id="3092" name="Check Box 20" hidden="1">
              <a:extLst>
                <a:ext uri="{63B3BB69-23CF-44E3-9099-C40C66FF867C}">
                  <a14:compatExt spid="_x0000_s30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13</xdr:row>
          <xdr:rowOff>330200</xdr:rowOff>
        </xdr:from>
        <xdr:to>
          <xdr:col>3</xdr:col>
          <xdr:colOff>1066800</xdr:colOff>
          <xdr:row>15</xdr:row>
          <xdr:rowOff>0</xdr:rowOff>
        </xdr:to>
        <xdr:sp macro="" textlink="">
          <xdr:nvSpPr>
            <xdr:cNvPr id="3093" name="Check Box 21" hidden="1">
              <a:extLst>
                <a:ext uri="{63B3BB69-23CF-44E3-9099-C40C66FF867C}">
                  <a14:compatExt spid="_x0000_s30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15</xdr:row>
          <xdr:rowOff>0</xdr:rowOff>
        </xdr:from>
        <xdr:to>
          <xdr:col>3</xdr:col>
          <xdr:colOff>1066800</xdr:colOff>
          <xdr:row>16</xdr:row>
          <xdr:rowOff>12700</xdr:rowOff>
        </xdr:to>
        <xdr:sp macro="" textlink="">
          <xdr:nvSpPr>
            <xdr:cNvPr id="3094" name="Check Box 22" hidden="1">
              <a:extLst>
                <a:ext uri="{63B3BB69-23CF-44E3-9099-C40C66FF867C}">
                  <a14:compatExt spid="_x0000_s30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711200</xdr:colOff>
          <xdr:row>17</xdr:row>
          <xdr:rowOff>330200</xdr:rowOff>
        </xdr:from>
        <xdr:to>
          <xdr:col>2</xdr:col>
          <xdr:colOff>1282700</xdr:colOff>
          <xdr:row>19</xdr:row>
          <xdr:rowOff>0</xdr:rowOff>
        </xdr:to>
        <xdr:sp macro="" textlink="">
          <xdr:nvSpPr>
            <xdr:cNvPr id="3097" name="Check Box 25" hidden="1">
              <a:extLst>
                <a:ext uri="{63B3BB69-23CF-44E3-9099-C40C66FF867C}">
                  <a14:compatExt spid="_x0000_s30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698500</xdr:colOff>
          <xdr:row>10</xdr:row>
          <xdr:rowOff>0</xdr:rowOff>
        </xdr:from>
        <xdr:to>
          <xdr:col>2</xdr:col>
          <xdr:colOff>1270000</xdr:colOff>
          <xdr:row>11</xdr:row>
          <xdr:rowOff>12700</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711200</xdr:colOff>
          <xdr:row>21</xdr:row>
          <xdr:rowOff>0</xdr:rowOff>
        </xdr:from>
        <xdr:to>
          <xdr:col>2</xdr:col>
          <xdr:colOff>1282700</xdr:colOff>
          <xdr:row>22</xdr:row>
          <xdr:rowOff>12700</xdr:rowOff>
        </xdr:to>
        <xdr:sp macro="" textlink="">
          <xdr:nvSpPr>
            <xdr:cNvPr id="2" name="Check Box 29" hidden="1">
              <a:extLst>
                <a:ext uri="{63B3BB69-23CF-44E3-9099-C40C66FF867C}">
                  <a14:compatExt spid="_x0000_s3101"/>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omments" Target="../comments1.xml"/><Relationship Id="rId1" Type="http://schemas.openxmlformats.org/officeDocument/2006/relationships/drawing" Target="../drawings/drawing2.xml"/><Relationship Id="rId2"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1" Type="http://schemas.openxmlformats.org/officeDocument/2006/relationships/ctrlProp" Target="../ctrlProps/ctrlProp12.xml"/><Relationship Id="rId12" Type="http://schemas.openxmlformats.org/officeDocument/2006/relationships/ctrlProp" Target="../ctrlProps/ctrlProp13.xml"/><Relationship Id="rId13" Type="http://schemas.openxmlformats.org/officeDocument/2006/relationships/ctrlProp" Target="../ctrlProps/ctrlProp14.xml"/><Relationship Id="rId14" Type="http://schemas.openxmlformats.org/officeDocument/2006/relationships/ctrlProp" Target="../ctrlProps/ctrlProp15.xml"/><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trlProp" Target="../ctrlProps/ctrlProp4.xml"/><Relationship Id="rId4" Type="http://schemas.openxmlformats.org/officeDocument/2006/relationships/ctrlProp" Target="../ctrlProps/ctrlProp5.xml"/><Relationship Id="rId5" Type="http://schemas.openxmlformats.org/officeDocument/2006/relationships/ctrlProp" Target="../ctrlProps/ctrlProp6.xml"/><Relationship Id="rId6" Type="http://schemas.openxmlformats.org/officeDocument/2006/relationships/ctrlProp" Target="../ctrlProps/ctrlProp7.xml"/><Relationship Id="rId7" Type="http://schemas.openxmlformats.org/officeDocument/2006/relationships/ctrlProp" Target="../ctrlProps/ctrlProp8.xml"/><Relationship Id="rId8" Type="http://schemas.openxmlformats.org/officeDocument/2006/relationships/ctrlProp" Target="../ctrlProps/ctrlProp9.xml"/><Relationship Id="rId9" Type="http://schemas.openxmlformats.org/officeDocument/2006/relationships/ctrlProp" Target="../ctrlProps/ctrlProp10.xml"/><Relationship Id="rId10"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showRowColHeaders="0" workbookViewId="0">
      <selection sqref="A1:G1"/>
    </sheetView>
  </sheetViews>
  <sheetFormatPr baseColWidth="10" defaultColWidth="8.7109375" defaultRowHeight="15" x14ac:dyDescent="0"/>
  <cols>
    <col min="1" max="1" width="17.7109375" customWidth="1"/>
    <col min="2" max="7" width="10.5703125" customWidth="1"/>
  </cols>
  <sheetData>
    <row r="1" spans="1:7" ht="29.25" customHeight="1">
      <c r="A1" s="305" t="s">
        <v>247</v>
      </c>
      <c r="B1" s="305"/>
      <c r="C1" s="305"/>
      <c r="D1" s="305"/>
      <c r="E1" s="305"/>
      <c r="F1" s="305"/>
      <c r="G1" s="305"/>
    </row>
    <row r="2" spans="1:7" ht="19.5" customHeight="1">
      <c r="A2" s="309" t="s">
        <v>248</v>
      </c>
      <c r="B2" s="309"/>
      <c r="C2" s="309"/>
      <c r="D2" s="309"/>
      <c r="E2" s="309"/>
      <c r="F2" s="309"/>
      <c r="G2" s="309"/>
    </row>
    <row r="3" spans="1:7" ht="135" customHeight="1">
      <c r="A3" s="308" t="s">
        <v>13</v>
      </c>
      <c r="B3" s="308"/>
      <c r="C3" s="308"/>
      <c r="D3" s="308"/>
      <c r="E3" s="2"/>
      <c r="F3" s="2"/>
      <c r="G3" s="2"/>
    </row>
    <row r="4" spans="1:7" ht="96.75" customHeight="1">
      <c r="A4" s="306" t="s">
        <v>15</v>
      </c>
      <c r="B4" s="306"/>
      <c r="C4" s="306"/>
      <c r="D4" s="306"/>
      <c r="E4" s="306"/>
      <c r="F4" s="306"/>
      <c r="G4" s="306"/>
    </row>
    <row r="5" spans="1:7" ht="27" customHeight="1">
      <c r="A5" s="6" t="s">
        <v>0</v>
      </c>
      <c r="B5" s="1"/>
      <c r="C5" s="1"/>
      <c r="D5" s="1"/>
      <c r="E5" s="1"/>
      <c r="F5" s="1"/>
      <c r="G5" s="1"/>
    </row>
    <row r="6" spans="1:7" ht="114" customHeight="1">
      <c r="A6" s="307" t="s">
        <v>83</v>
      </c>
      <c r="B6" s="307"/>
      <c r="C6" s="307"/>
      <c r="D6" s="307"/>
      <c r="E6" s="307"/>
      <c r="F6" s="307"/>
      <c r="G6" s="307"/>
    </row>
    <row r="7" spans="1:7" ht="110.25" customHeight="1">
      <c r="A7" s="302" t="s">
        <v>291</v>
      </c>
      <c r="B7" s="303"/>
      <c r="C7" s="303"/>
      <c r="D7" s="303"/>
      <c r="E7" s="303"/>
      <c r="F7" s="303"/>
      <c r="G7" s="304"/>
    </row>
    <row r="8" spans="1:7" ht="63" customHeight="1">
      <c r="A8" s="310" t="str">
        <f>"Some assumptions in this presentation are based on reforming the federal estate tax in 2013 by adjusting the applicable exclusion amount to "&amp;DOLLAR(Calculator!$J$11,-2)&amp;IF(Calculator!$E$9=TRUE," per spouse","")&amp;", changing the federal estate tax rate in 2013 to a maximum rate of "&amp;Calculator!$E$14*100&amp;"%, and indexing the applicable exclusion amount for inflation at "&amp;Calculator!$E$13*100&amp;"%, rounded to the nearest $10,000.  Prior taxable gifts are assumed to be zero."</f>
        <v>Some assumptions in this presentation are based on reforming the federal estate tax in 2013 by adjusting the applicable exclusion amount to $3,500,000 per spouse, changing the federal estate tax rate in 2013 to a maximum rate of 45%, and indexing the applicable exclusion amount for inflation at 3%, rounded to the nearest $10,000.  Prior taxable gifts are assumed to be zero.</v>
      </c>
      <c r="B8" s="311"/>
      <c r="C8" s="311"/>
      <c r="D8" s="311"/>
      <c r="E8" s="311"/>
      <c r="F8" s="311"/>
      <c r="G8" s="312"/>
    </row>
    <row r="9" spans="1:7" s="11" customFormat="1" ht="19.5" customHeight="1">
      <c r="A9" s="3" t="s">
        <v>23</v>
      </c>
      <c r="B9" s="10"/>
      <c r="C9" s="10"/>
      <c r="D9" s="10"/>
      <c r="E9" s="10"/>
      <c r="F9" s="10"/>
      <c r="G9" s="10"/>
    </row>
    <row r="10" spans="1:7" ht="13.5" customHeight="1">
      <c r="A10" s="7" t="s">
        <v>24</v>
      </c>
      <c r="B10" s="5"/>
      <c r="C10" s="5"/>
      <c r="D10" s="5"/>
      <c r="E10" s="5"/>
      <c r="F10" s="5"/>
      <c r="G10" s="5"/>
    </row>
    <row r="11" spans="1:7" ht="14.25" customHeight="1">
      <c r="A11" s="3" t="s">
        <v>22</v>
      </c>
      <c r="B11" s="8"/>
      <c r="C11" s="8"/>
      <c r="D11" s="8"/>
      <c r="E11" s="8"/>
      <c r="F11" s="8"/>
      <c r="G11" s="8"/>
    </row>
    <row r="12" spans="1:7" ht="14.25" customHeight="1">
      <c r="A12" s="12" t="s">
        <v>270</v>
      </c>
      <c r="B12" s="4"/>
      <c r="C12" s="14" t="s">
        <v>19</v>
      </c>
      <c r="D12" s="4"/>
      <c r="E12" s="4"/>
      <c r="F12" s="4"/>
      <c r="G12" s="13" t="s">
        <v>269</v>
      </c>
    </row>
    <row r="13" spans="1:7" ht="24.75" customHeight="1">
      <c r="A13" s="313" t="s">
        <v>1</v>
      </c>
      <c r="B13" s="313"/>
      <c r="C13" s="313"/>
      <c r="D13" s="313"/>
      <c r="E13" s="313"/>
      <c r="F13" s="313"/>
      <c r="G13" s="313"/>
    </row>
    <row r="14" spans="1:7" ht="25.5" customHeight="1">
      <c r="A14" s="318" t="s">
        <v>2</v>
      </c>
      <c r="B14" s="318"/>
      <c r="C14" s="318"/>
      <c r="D14" s="318"/>
      <c r="E14" s="318"/>
      <c r="F14" s="318"/>
      <c r="G14" s="318"/>
    </row>
    <row r="15" spans="1:7" ht="41.25" customHeight="1">
      <c r="A15" s="314" t="s">
        <v>3</v>
      </c>
      <c r="B15" s="314"/>
      <c r="C15" s="314"/>
      <c r="D15" s="314"/>
      <c r="E15" s="314"/>
      <c r="F15" s="314"/>
      <c r="G15" s="314"/>
    </row>
    <row r="16" spans="1:7" ht="18.75" customHeight="1">
      <c r="A16" s="315" t="s">
        <v>4</v>
      </c>
      <c r="B16" s="315"/>
      <c r="C16" s="315"/>
      <c r="D16" s="315"/>
      <c r="E16" s="315"/>
      <c r="F16" s="315"/>
      <c r="G16" s="315"/>
    </row>
    <row r="17" spans="1:7">
      <c r="A17" s="315" t="s">
        <v>5</v>
      </c>
      <c r="B17" s="315"/>
      <c r="C17" s="315"/>
      <c r="D17" s="315"/>
      <c r="E17" s="315"/>
      <c r="F17" s="315"/>
      <c r="G17" s="315"/>
    </row>
    <row r="18" spans="1:7">
      <c r="A18" s="315" t="s">
        <v>31</v>
      </c>
      <c r="B18" s="315"/>
      <c r="C18" s="315"/>
      <c r="D18" s="315"/>
      <c r="E18" s="315"/>
      <c r="F18" s="315"/>
      <c r="G18" s="315"/>
    </row>
    <row r="19" spans="1:7" ht="36" customHeight="1">
      <c r="A19" s="314" t="s">
        <v>32</v>
      </c>
      <c r="B19" s="314"/>
      <c r="C19" s="314"/>
      <c r="D19" s="314"/>
      <c r="E19" s="314"/>
      <c r="F19" s="314"/>
      <c r="G19" s="314"/>
    </row>
    <row r="20" spans="1:7" ht="75.75" customHeight="1">
      <c r="A20" s="314" t="s">
        <v>33</v>
      </c>
      <c r="B20" s="314"/>
      <c r="C20" s="314"/>
      <c r="D20" s="314"/>
      <c r="E20" s="314"/>
      <c r="F20" s="314"/>
      <c r="G20" s="314"/>
    </row>
    <row r="21" spans="1:7" ht="9.75" customHeight="1">
      <c r="A21" s="1"/>
      <c r="B21" s="1"/>
      <c r="C21" s="1"/>
      <c r="D21" s="1"/>
      <c r="E21" s="1"/>
      <c r="F21" s="1"/>
      <c r="G21" s="1"/>
    </row>
    <row r="22" spans="1:7" ht="20">
      <c r="A22" s="316" t="s">
        <v>6</v>
      </c>
      <c r="B22" s="316"/>
      <c r="C22" s="316"/>
      <c r="D22" s="316"/>
      <c r="E22" s="316"/>
      <c r="F22" s="316"/>
      <c r="G22" s="316"/>
    </row>
    <row r="23" spans="1:7" ht="51" customHeight="1">
      <c r="A23" s="317" t="s">
        <v>7</v>
      </c>
      <c r="B23" s="317"/>
      <c r="C23" s="317"/>
      <c r="D23" s="317"/>
      <c r="E23" s="317"/>
      <c r="F23" s="317"/>
      <c r="G23" s="317"/>
    </row>
    <row r="24" spans="1:7" ht="66" customHeight="1">
      <c r="A24" s="317" t="s">
        <v>8</v>
      </c>
      <c r="B24" s="317"/>
      <c r="C24" s="317"/>
      <c r="D24" s="317"/>
      <c r="E24" s="317"/>
      <c r="F24" s="317"/>
      <c r="G24" s="317"/>
    </row>
    <row r="25" spans="1:7" ht="50.25" customHeight="1">
      <c r="A25" s="317" t="s">
        <v>9</v>
      </c>
      <c r="B25" s="317"/>
      <c r="C25" s="317"/>
      <c r="D25" s="317"/>
      <c r="E25" s="317"/>
      <c r="F25" s="317"/>
      <c r="G25" s="317"/>
    </row>
    <row r="26" spans="1:7" ht="38.25" customHeight="1">
      <c r="A26" s="317" t="s">
        <v>17</v>
      </c>
      <c r="B26" s="317"/>
      <c r="C26" s="317"/>
      <c r="D26" s="317"/>
      <c r="E26" s="317"/>
      <c r="F26" s="317"/>
      <c r="G26" s="317"/>
    </row>
    <row r="27" spans="1:7" ht="51.75" customHeight="1">
      <c r="A27" s="317" t="s">
        <v>10</v>
      </c>
      <c r="B27" s="317"/>
      <c r="C27" s="317"/>
      <c r="D27" s="317"/>
      <c r="E27" s="317"/>
      <c r="F27" s="317"/>
      <c r="G27" s="317"/>
    </row>
    <row r="28" spans="1:7" ht="9.75" customHeight="1">
      <c r="A28" s="9"/>
      <c r="B28" s="9"/>
      <c r="C28" s="9"/>
      <c r="D28" s="9"/>
      <c r="E28" s="9"/>
      <c r="F28" s="9"/>
      <c r="G28" s="9"/>
    </row>
    <row r="29" spans="1:7" ht="19.5" customHeight="1">
      <c r="A29" s="316" t="s">
        <v>11</v>
      </c>
      <c r="B29" s="316"/>
      <c r="C29" s="316"/>
      <c r="D29" s="316"/>
      <c r="E29" s="316"/>
      <c r="F29" s="316"/>
      <c r="G29" s="316"/>
    </row>
    <row r="30" spans="1:7" ht="34.5" customHeight="1">
      <c r="A30" s="317" t="s">
        <v>18</v>
      </c>
      <c r="B30" s="317"/>
      <c r="C30" s="317"/>
      <c r="D30" s="317"/>
      <c r="E30" s="317"/>
      <c r="F30" s="317"/>
      <c r="G30" s="317"/>
    </row>
    <row r="31" spans="1:7" ht="27.75" customHeight="1">
      <c r="A31" s="317" t="s">
        <v>49</v>
      </c>
      <c r="B31" s="317"/>
      <c r="C31" s="317"/>
      <c r="D31" s="317"/>
      <c r="E31" s="317"/>
      <c r="F31" s="317"/>
      <c r="G31" s="317"/>
    </row>
    <row r="32" spans="1:7">
      <c r="C32" s="14" t="s">
        <v>20</v>
      </c>
    </row>
  </sheetData>
  <sheetProtection password="D977" sheet="1" objects="1" scenarios="1" selectLockedCells="1" selectUnlockedCells="1"/>
  <mergeCells count="24">
    <mergeCell ref="A22:G22"/>
    <mergeCell ref="A29:G29"/>
    <mergeCell ref="A31:G31"/>
    <mergeCell ref="A18:G18"/>
    <mergeCell ref="A14:G14"/>
    <mergeCell ref="A23:G23"/>
    <mergeCell ref="A25:G25"/>
    <mergeCell ref="A26:G26"/>
    <mergeCell ref="A27:G27"/>
    <mergeCell ref="A24:G24"/>
    <mergeCell ref="A19:G19"/>
    <mergeCell ref="A20:G20"/>
    <mergeCell ref="A30:G30"/>
    <mergeCell ref="A8:G8"/>
    <mergeCell ref="A13:G13"/>
    <mergeCell ref="A15:G15"/>
    <mergeCell ref="A16:G16"/>
    <mergeCell ref="A17:G17"/>
    <mergeCell ref="A7:G7"/>
    <mergeCell ref="A1:G1"/>
    <mergeCell ref="A4:G4"/>
    <mergeCell ref="A6:G6"/>
    <mergeCell ref="A3:D3"/>
    <mergeCell ref="A2:G2"/>
  </mergeCells>
  <pageMargins left="0.75" right="0.75" top="0.75" bottom="0.5" header="0.3" footer="0.3"/>
  <pageSetup orientation="portrait"/>
  <rowBreaks count="1" manualBreakCount="1">
    <brk id="12" max="16383" man="1"/>
  </row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C00000"/>
    <pageSetUpPr fitToPage="1"/>
  </sheetPr>
  <dimension ref="A1:R55"/>
  <sheetViews>
    <sheetView showGridLines="0" tabSelected="1" workbookViewId="0">
      <selection activeCell="E5" sqref="E5"/>
    </sheetView>
  </sheetViews>
  <sheetFormatPr baseColWidth="10" defaultColWidth="8.7109375" defaultRowHeight="12" x14ac:dyDescent="0"/>
  <cols>
    <col min="1" max="1" width="13.42578125" style="48" customWidth="1"/>
    <col min="2" max="2" width="10.5703125" style="48" customWidth="1"/>
    <col min="3" max="3" width="5.5703125" style="48" customWidth="1"/>
    <col min="4" max="4" width="0.85546875" style="48" customWidth="1"/>
    <col min="5" max="5" width="11.5703125" style="48" customWidth="1"/>
    <col min="6" max="6" width="1.5703125" style="48" customWidth="1"/>
    <col min="7" max="7" width="11.5703125" style="48" customWidth="1"/>
    <col min="8" max="8" width="5.5703125" style="48" customWidth="1"/>
    <col min="9" max="9" width="0.85546875" style="48" customWidth="1"/>
    <col min="10" max="10" width="13.140625" style="48" customWidth="1"/>
    <col min="11" max="11" width="11.5703125" style="48" customWidth="1"/>
    <col min="12" max="12" width="5.7109375" style="48" hidden="1" customWidth="1"/>
    <col min="13" max="13" width="5.5703125" style="48" customWidth="1"/>
    <col min="14" max="17" width="10.5703125" style="48" hidden="1" customWidth="1"/>
    <col min="18" max="16384" width="8.7109375" style="48"/>
  </cols>
  <sheetData>
    <row r="1" spans="1:13" ht="22.5" customHeight="1">
      <c r="A1" s="335" t="s">
        <v>214</v>
      </c>
      <c r="B1" s="336"/>
      <c r="C1" s="336"/>
      <c r="D1" s="336"/>
      <c r="E1" s="336"/>
      <c r="F1" s="336"/>
      <c r="G1" s="336"/>
      <c r="H1" s="336"/>
      <c r="I1" s="336"/>
      <c r="J1" s="336"/>
      <c r="K1" s="336"/>
      <c r="L1" s="336"/>
      <c r="M1" s="337"/>
    </row>
    <row r="2" spans="1:13" ht="2.25" customHeight="1"/>
    <row r="3" spans="1:13" ht="15" customHeight="1">
      <c r="A3" s="348" t="s">
        <v>14</v>
      </c>
      <c r="B3" s="349"/>
      <c r="C3" s="349"/>
      <c r="D3" s="349"/>
      <c r="E3" s="349"/>
      <c r="F3" s="349"/>
      <c r="G3" s="349"/>
      <c r="H3" s="349"/>
      <c r="I3" s="349"/>
      <c r="J3" s="349"/>
      <c r="K3" s="349"/>
      <c r="L3" s="349"/>
      <c r="M3" s="349"/>
    </row>
    <row r="4" spans="1:13" ht="12" customHeight="1">
      <c r="A4" s="49"/>
      <c r="B4" s="49"/>
      <c r="C4" s="49"/>
      <c r="D4" s="49"/>
      <c r="E4" s="115" t="s">
        <v>315</v>
      </c>
      <c r="F4" s="50"/>
      <c r="H4" s="49"/>
      <c r="I4" s="49"/>
      <c r="J4" s="274" t="s">
        <v>316</v>
      </c>
      <c r="K4" s="49"/>
      <c r="L4" s="49"/>
      <c r="M4" s="301" t="str">
        <f>IF(E9=FALSE,IF(J9=TRUE,"ERROR",""),"")</f>
        <v/>
      </c>
    </row>
    <row r="5" spans="1:13" ht="12.75" customHeight="1">
      <c r="A5" s="51" t="s">
        <v>278</v>
      </c>
      <c r="B5" s="49"/>
      <c r="C5" s="49"/>
      <c r="D5" s="49"/>
      <c r="E5" s="52">
        <v>10000000</v>
      </c>
      <c r="F5" s="242"/>
      <c r="G5" s="229" t="s">
        <v>215</v>
      </c>
      <c r="H5" s="110" t="s">
        <v>150</v>
      </c>
      <c r="I5" s="49"/>
      <c r="J5" s="279" t="s">
        <v>12</v>
      </c>
      <c r="K5" s="260" t="s">
        <v>312</v>
      </c>
      <c r="L5" s="261"/>
      <c r="M5" s="114">
        <v>41395</v>
      </c>
    </row>
    <row r="6" spans="1:13" ht="12.75" customHeight="1">
      <c r="A6" s="51" t="s">
        <v>333</v>
      </c>
      <c r="B6" s="49"/>
      <c r="C6" s="49"/>
      <c r="D6" s="49"/>
      <c r="E6" s="53">
        <v>0.05</v>
      </c>
      <c r="F6" s="243"/>
      <c r="G6" s="357" t="str">
        <f>IF(VLOOKUP($H$5,States,6,FALSE)=0,"No State Estate Tax",(DOLLAR(VLOOKUP($H$5,States,6,FALSE),-2)&amp;" State Exclusion"))</f>
        <v>$675,000 State Exclusion</v>
      </c>
      <c r="H6" s="358"/>
      <c r="I6" s="49"/>
      <c r="J6" s="54">
        <v>2011</v>
      </c>
      <c r="K6" s="320" t="s">
        <v>16</v>
      </c>
      <c r="L6" s="321"/>
      <c r="M6" s="321"/>
    </row>
    <row r="7" spans="1:13" ht="12.75" customHeight="1">
      <c r="A7" s="328" t="s">
        <v>314</v>
      </c>
      <c r="B7" s="328"/>
      <c r="C7" s="328"/>
      <c r="D7" s="49"/>
      <c r="E7" s="54">
        <v>10</v>
      </c>
      <c r="F7" s="244"/>
      <c r="G7" s="228" t="s">
        <v>336</v>
      </c>
      <c r="H7" s="116">
        <v>1</v>
      </c>
      <c r="I7" s="49"/>
      <c r="J7" s="52">
        <v>5000000</v>
      </c>
      <c r="K7" s="320" t="s">
        <v>66</v>
      </c>
      <c r="L7" s="321"/>
      <c r="M7" s="321"/>
    </row>
    <row r="8" spans="1:13" ht="12.75" customHeight="1">
      <c r="A8" s="55" t="str">
        <f>"       Projected Estate Value in "&amp;J6+$E$7</f>
        <v xml:space="preserve">       Projected Estate Value in 2021</v>
      </c>
      <c r="B8" s="56"/>
      <c r="C8" s="56"/>
      <c r="D8" s="56"/>
      <c r="E8" s="57">
        <f>$E$5*(1+$E$6)^$E$7</f>
        <v>16288946.267774416</v>
      </c>
      <c r="F8" s="245"/>
      <c r="G8" s="326" t="str">
        <f>IF(VLOOKUP($H$5,States,8,FALSE)=0,"No Inheritance Tax",IF($H$7=1,(VLOOKUP($H$5,Inheritance,2,FALSE)*100&amp;"% Inheritance Tax"),IF($H$7=2,(VLOOKUP($H$5,Inheritance,3)*100&amp;"% Inheritance Tax"),VLOOKUP($H$5,Inheritance,4)*100&amp;"% Inheritance Tax")))</f>
        <v>0% Inheritance Tax</v>
      </c>
      <c r="H8" s="326"/>
      <c r="I8" s="49"/>
      <c r="J8" s="52">
        <v>0</v>
      </c>
      <c r="K8" s="320" t="s">
        <v>283</v>
      </c>
      <c r="L8" s="321"/>
      <c r="M8" s="321"/>
    </row>
    <row r="9" spans="1:13" ht="12.75" customHeight="1">
      <c r="A9" s="322" t="s">
        <v>65</v>
      </c>
      <c r="B9" s="322"/>
      <c r="C9" s="322"/>
      <c r="D9" s="58"/>
      <c r="E9" s="59" t="b">
        <v>1</v>
      </c>
      <c r="F9" s="246"/>
      <c r="G9" s="327" t="str">
        <f>IF($E$9=TRUE,"[2] Federal App. Exclusions","[1] Federal App. Exclusion")</f>
        <v>[2] Federal App. Exclusions</v>
      </c>
      <c r="H9" s="327"/>
      <c r="I9" s="51"/>
      <c r="J9" s="59" t="b">
        <v>1</v>
      </c>
      <c r="K9" s="320" t="s">
        <v>287</v>
      </c>
      <c r="L9" s="321"/>
      <c r="M9" s="321"/>
    </row>
    <row r="10" spans="1:13" ht="15" customHeight="1">
      <c r="A10" s="60" t="s">
        <v>72</v>
      </c>
      <c r="B10" s="49"/>
      <c r="C10" s="49"/>
      <c r="D10" s="49"/>
      <c r="E10" s="241"/>
      <c r="F10" s="247"/>
      <c r="G10" s="329" t="str">
        <f>VLOOKUP($H$5,States,3,FALSE)&amp;"       [Inheritance Class:  "&amp;IF($H$7=1,VLOOKUP($H$5,States,15,FALSE),IF($H$7=2,VLOOKUP($H$5,States,16,FALSE),VLOOKUP($H$5,States,17,FALSE)))&amp;"]"</f>
        <v>New Jersey       [Inheritance Class:  Children, Parents, G.C.]</v>
      </c>
      <c r="H10" s="329"/>
      <c r="I10" s="329"/>
      <c r="J10" s="329"/>
      <c r="K10" s="329"/>
      <c r="L10" s="278"/>
      <c r="M10" s="278"/>
    </row>
    <row r="11" spans="1:13" ht="12.75" customHeight="1">
      <c r="A11" s="61" t="s">
        <v>194</v>
      </c>
      <c r="B11" s="49"/>
      <c r="C11" s="49"/>
      <c r="D11" s="49"/>
      <c r="E11" s="59" t="b">
        <v>0</v>
      </c>
      <c r="F11" s="247"/>
      <c r="G11" s="51"/>
      <c r="H11" s="49"/>
      <c r="I11" s="49"/>
      <c r="J11" s="62">
        <f>IF($E$11=TRUE,$J$7,$E$12)</f>
        <v>3500000</v>
      </c>
      <c r="K11" s="323" t="s">
        <v>207</v>
      </c>
      <c r="L11" s="324"/>
      <c r="M11" s="324"/>
    </row>
    <row r="12" spans="1:13" ht="12.75" customHeight="1">
      <c r="A12" s="61" t="s">
        <v>195</v>
      </c>
      <c r="B12" s="49"/>
      <c r="C12" s="49"/>
      <c r="D12" s="49"/>
      <c r="E12" s="52">
        <v>3500000</v>
      </c>
      <c r="F12" s="248"/>
      <c r="G12" s="51"/>
      <c r="H12" s="49"/>
      <c r="I12" s="49"/>
      <c r="J12" s="333">
        <f>IF(J6&gt;2012,"ERROR",ROUND($J$11*(1+$E$13)^($E$7),-4))</f>
        <v>4700000</v>
      </c>
      <c r="K12" s="356" t="str">
        <f>"Projected Hypothetical Exclusion Amt. in "&amp;$J$6+$E$7</f>
        <v>Projected Hypothetical Exclusion Amt. in 2021</v>
      </c>
      <c r="L12" s="356"/>
      <c r="M12" s="356"/>
    </row>
    <row r="13" spans="1:13" ht="12.75" customHeight="1">
      <c r="A13" s="113" t="s">
        <v>82</v>
      </c>
      <c r="B13" s="49"/>
      <c r="C13" s="49"/>
      <c r="D13" s="49"/>
      <c r="E13" s="53">
        <v>0.03</v>
      </c>
      <c r="F13" s="249"/>
      <c r="G13" s="51"/>
      <c r="H13" s="49"/>
      <c r="I13" s="49"/>
      <c r="J13" s="334"/>
      <c r="K13" s="356"/>
      <c r="L13" s="356"/>
      <c r="M13" s="356"/>
    </row>
    <row r="14" spans="1:13" ht="12.75" customHeight="1">
      <c r="A14" s="51" t="s">
        <v>81</v>
      </c>
      <c r="B14" s="49"/>
      <c r="C14" s="49"/>
      <c r="D14" s="49"/>
      <c r="E14" s="63">
        <v>0.45</v>
      </c>
      <c r="F14" s="243"/>
      <c r="G14" s="65"/>
      <c r="H14" s="66"/>
      <c r="I14" s="49"/>
      <c r="J14" s="49"/>
      <c r="K14" s="67"/>
      <c r="L14" s="67"/>
      <c r="M14" s="67"/>
    </row>
    <row r="15" spans="1:13" ht="3" customHeight="1">
      <c r="G15" s="49"/>
      <c r="H15" s="49"/>
      <c r="I15" s="49"/>
      <c r="J15" s="49"/>
      <c r="K15" s="49"/>
      <c r="L15" s="49"/>
      <c r="M15" s="49"/>
    </row>
    <row r="16" spans="1:13" ht="13.5" customHeight="1">
      <c r="A16" s="339" t="str">
        <f>+$J$6&amp;" 'Actual' Estate Tax Table"</f>
        <v>2011 'Actual' Estate Tax Table</v>
      </c>
      <c r="B16" s="340"/>
      <c r="C16" s="341"/>
      <c r="D16" s="56"/>
      <c r="E16" s="342" t="s">
        <v>196</v>
      </c>
      <c r="F16" s="343"/>
      <c r="G16" s="343"/>
      <c r="H16" s="344"/>
      <c r="I16" s="56"/>
      <c r="J16" s="345" t="s">
        <v>197</v>
      </c>
      <c r="K16" s="346"/>
      <c r="L16" s="346"/>
      <c r="M16" s="347"/>
    </row>
    <row r="17" spans="1:13" ht="12.75" customHeight="1">
      <c r="A17" s="68">
        <v>0</v>
      </c>
      <c r="B17" s="69">
        <v>0</v>
      </c>
      <c r="C17" s="70">
        <v>0.18</v>
      </c>
      <c r="D17" s="49"/>
      <c r="E17" s="71">
        <v>0</v>
      </c>
      <c r="F17" s="72"/>
      <c r="G17" s="72">
        <v>0</v>
      </c>
      <c r="H17" s="70">
        <v>0.18</v>
      </c>
      <c r="I17" s="49"/>
      <c r="J17" s="71">
        <v>0</v>
      </c>
      <c r="K17" s="73">
        <v>0</v>
      </c>
      <c r="L17" s="74">
        <v>0.18</v>
      </c>
      <c r="M17" s="75">
        <f t="shared" ref="M17:M35" si="0">IF(L17&lt;$E$14,L17,$E$14)</f>
        <v>0.18</v>
      </c>
    </row>
    <row r="18" spans="1:13" ht="11.25" customHeight="1">
      <c r="A18" s="76">
        <v>10000</v>
      </c>
      <c r="B18" s="77">
        <v>1800</v>
      </c>
      <c r="C18" s="70">
        <v>0.2</v>
      </c>
      <c r="D18" s="49"/>
      <c r="E18" s="78">
        <v>10000</v>
      </c>
      <c r="F18" s="79"/>
      <c r="G18" s="79">
        <v>1800</v>
      </c>
      <c r="H18" s="70">
        <v>0.2</v>
      </c>
      <c r="I18" s="49"/>
      <c r="J18" s="78">
        <v>10000</v>
      </c>
      <c r="K18" s="80">
        <f>J18*M17</f>
        <v>1800</v>
      </c>
      <c r="L18" s="74">
        <v>0.2</v>
      </c>
      <c r="M18" s="75">
        <f t="shared" si="0"/>
        <v>0.2</v>
      </c>
    </row>
    <row r="19" spans="1:13" ht="11.25" customHeight="1">
      <c r="A19" s="76">
        <v>20000</v>
      </c>
      <c r="B19" s="77">
        <v>3800</v>
      </c>
      <c r="C19" s="70">
        <v>0.22</v>
      </c>
      <c r="D19" s="49"/>
      <c r="E19" s="78">
        <v>20000</v>
      </c>
      <c r="F19" s="79"/>
      <c r="G19" s="79">
        <v>3800</v>
      </c>
      <c r="H19" s="70">
        <v>0.22</v>
      </c>
      <c r="I19" s="49"/>
      <c r="J19" s="78">
        <v>20000</v>
      </c>
      <c r="K19" s="80">
        <f t="shared" ref="K19:K35" si="1">((J19-J18)*M18)+K18</f>
        <v>3800</v>
      </c>
      <c r="L19" s="74">
        <v>0.22</v>
      </c>
      <c r="M19" s="75">
        <f t="shared" si="0"/>
        <v>0.22</v>
      </c>
    </row>
    <row r="20" spans="1:13" ht="11.25" customHeight="1">
      <c r="A20" s="76">
        <v>40000</v>
      </c>
      <c r="B20" s="77">
        <v>8200</v>
      </c>
      <c r="C20" s="70">
        <v>0.24</v>
      </c>
      <c r="D20" s="49"/>
      <c r="E20" s="78">
        <v>40000</v>
      </c>
      <c r="F20" s="79"/>
      <c r="G20" s="79">
        <v>8200</v>
      </c>
      <c r="H20" s="70">
        <v>0.24</v>
      </c>
      <c r="I20" s="49"/>
      <c r="J20" s="78">
        <v>40000</v>
      </c>
      <c r="K20" s="80">
        <f t="shared" si="1"/>
        <v>8200</v>
      </c>
      <c r="L20" s="74">
        <v>0.24</v>
      </c>
      <c r="M20" s="75">
        <f t="shared" si="0"/>
        <v>0.24</v>
      </c>
    </row>
    <row r="21" spans="1:13" ht="11.25" customHeight="1">
      <c r="A21" s="76">
        <v>60000</v>
      </c>
      <c r="B21" s="77">
        <v>13000</v>
      </c>
      <c r="C21" s="70">
        <v>0.26</v>
      </c>
      <c r="D21" s="49"/>
      <c r="E21" s="78">
        <v>60000</v>
      </c>
      <c r="F21" s="79"/>
      <c r="G21" s="79">
        <v>13000</v>
      </c>
      <c r="H21" s="70">
        <v>0.26</v>
      </c>
      <c r="I21" s="49"/>
      <c r="J21" s="78">
        <v>60000</v>
      </c>
      <c r="K21" s="80">
        <f t="shared" si="1"/>
        <v>13000</v>
      </c>
      <c r="L21" s="74">
        <v>0.26</v>
      </c>
      <c r="M21" s="75">
        <f t="shared" si="0"/>
        <v>0.26</v>
      </c>
    </row>
    <row r="22" spans="1:13" ht="11.25" customHeight="1">
      <c r="A22" s="76">
        <v>80000</v>
      </c>
      <c r="B22" s="77">
        <v>18200</v>
      </c>
      <c r="C22" s="70">
        <v>0.28000000000000003</v>
      </c>
      <c r="D22" s="49"/>
      <c r="E22" s="78">
        <v>80000</v>
      </c>
      <c r="F22" s="79"/>
      <c r="G22" s="79">
        <v>18200</v>
      </c>
      <c r="H22" s="70">
        <v>0.28000000000000003</v>
      </c>
      <c r="I22" s="49"/>
      <c r="J22" s="78">
        <v>80000</v>
      </c>
      <c r="K22" s="80">
        <f t="shared" si="1"/>
        <v>18200</v>
      </c>
      <c r="L22" s="74">
        <v>0.28000000000000003</v>
      </c>
      <c r="M22" s="75">
        <f t="shared" si="0"/>
        <v>0.28000000000000003</v>
      </c>
    </row>
    <row r="23" spans="1:13" ht="11.25" customHeight="1">
      <c r="A23" s="76">
        <v>100000</v>
      </c>
      <c r="B23" s="77">
        <v>23800</v>
      </c>
      <c r="C23" s="70">
        <v>0.3</v>
      </c>
      <c r="D23" s="49"/>
      <c r="E23" s="78">
        <v>100000</v>
      </c>
      <c r="F23" s="79"/>
      <c r="G23" s="79">
        <v>23800</v>
      </c>
      <c r="H23" s="70">
        <v>0.3</v>
      </c>
      <c r="I23" s="49"/>
      <c r="J23" s="78">
        <v>100000</v>
      </c>
      <c r="K23" s="80">
        <f t="shared" si="1"/>
        <v>23800</v>
      </c>
      <c r="L23" s="74">
        <v>0.3</v>
      </c>
      <c r="M23" s="75">
        <f t="shared" si="0"/>
        <v>0.3</v>
      </c>
    </row>
    <row r="24" spans="1:13" ht="11.25" customHeight="1">
      <c r="A24" s="76">
        <v>150000</v>
      </c>
      <c r="B24" s="77">
        <v>38800</v>
      </c>
      <c r="C24" s="70">
        <v>0.32</v>
      </c>
      <c r="D24" s="49"/>
      <c r="E24" s="78">
        <v>150000</v>
      </c>
      <c r="F24" s="79"/>
      <c r="G24" s="79">
        <v>38800</v>
      </c>
      <c r="H24" s="70">
        <v>0.32</v>
      </c>
      <c r="I24" s="49"/>
      <c r="J24" s="78">
        <v>150000</v>
      </c>
      <c r="K24" s="80">
        <f t="shared" si="1"/>
        <v>38800</v>
      </c>
      <c r="L24" s="74">
        <v>0.32</v>
      </c>
      <c r="M24" s="75">
        <f t="shared" si="0"/>
        <v>0.32</v>
      </c>
    </row>
    <row r="25" spans="1:13" ht="11.25" customHeight="1">
      <c r="A25" s="76">
        <v>250000</v>
      </c>
      <c r="B25" s="77">
        <v>70800</v>
      </c>
      <c r="C25" s="70">
        <v>0.34</v>
      </c>
      <c r="D25" s="49"/>
      <c r="E25" s="78">
        <v>250000</v>
      </c>
      <c r="F25" s="79"/>
      <c r="G25" s="79">
        <v>70800</v>
      </c>
      <c r="H25" s="70">
        <v>0.34</v>
      </c>
      <c r="I25" s="49"/>
      <c r="J25" s="78">
        <v>250000</v>
      </c>
      <c r="K25" s="80">
        <f t="shared" si="1"/>
        <v>70800</v>
      </c>
      <c r="L25" s="74">
        <v>0.34</v>
      </c>
      <c r="M25" s="75">
        <f t="shared" si="0"/>
        <v>0.34</v>
      </c>
    </row>
    <row r="26" spans="1:13" ht="11.25" customHeight="1">
      <c r="A26" s="76">
        <v>500000</v>
      </c>
      <c r="B26" s="77">
        <v>155800</v>
      </c>
      <c r="C26" s="75">
        <v>0.35</v>
      </c>
      <c r="D26" s="49"/>
      <c r="E26" s="78">
        <v>500000</v>
      </c>
      <c r="F26" s="79"/>
      <c r="G26" s="79">
        <v>155800</v>
      </c>
      <c r="H26" s="70">
        <v>0.37</v>
      </c>
      <c r="I26" s="49"/>
      <c r="J26" s="78">
        <v>500000</v>
      </c>
      <c r="K26" s="80">
        <f t="shared" si="1"/>
        <v>155800</v>
      </c>
      <c r="L26" s="74">
        <v>0.37</v>
      </c>
      <c r="M26" s="75">
        <f t="shared" si="0"/>
        <v>0.37</v>
      </c>
    </row>
    <row r="27" spans="1:13" ht="11.25" customHeight="1">
      <c r="A27" s="78"/>
      <c r="B27" s="79"/>
      <c r="C27" s="70"/>
      <c r="D27" s="49"/>
      <c r="E27" s="78">
        <v>750000</v>
      </c>
      <c r="F27" s="79"/>
      <c r="G27" s="79">
        <v>248300</v>
      </c>
      <c r="H27" s="70">
        <v>0.39</v>
      </c>
      <c r="I27" s="49"/>
      <c r="J27" s="78">
        <v>750000</v>
      </c>
      <c r="K27" s="80">
        <f t="shared" si="1"/>
        <v>248300</v>
      </c>
      <c r="L27" s="74">
        <v>0.39</v>
      </c>
      <c r="M27" s="75">
        <f t="shared" si="0"/>
        <v>0.39</v>
      </c>
    </row>
    <row r="28" spans="1:13" ht="11.25" customHeight="1">
      <c r="A28" s="78"/>
      <c r="B28" s="79"/>
      <c r="C28" s="70"/>
      <c r="D28" s="49"/>
      <c r="E28" s="78">
        <v>1000000</v>
      </c>
      <c r="F28" s="79"/>
      <c r="G28" s="79">
        <v>345800</v>
      </c>
      <c r="H28" s="70">
        <v>0.41</v>
      </c>
      <c r="I28" s="49"/>
      <c r="J28" s="78">
        <v>1000000</v>
      </c>
      <c r="K28" s="80">
        <f t="shared" si="1"/>
        <v>345800</v>
      </c>
      <c r="L28" s="74">
        <v>0.41</v>
      </c>
      <c r="M28" s="75">
        <f t="shared" si="0"/>
        <v>0.41</v>
      </c>
    </row>
    <row r="29" spans="1:13" ht="11.25" customHeight="1">
      <c r="A29" s="78"/>
      <c r="B29" s="79"/>
      <c r="C29" s="70"/>
      <c r="D29" s="49"/>
      <c r="E29" s="78">
        <v>1250000</v>
      </c>
      <c r="F29" s="79"/>
      <c r="G29" s="79">
        <v>448300</v>
      </c>
      <c r="H29" s="70">
        <v>0.43</v>
      </c>
      <c r="I29" s="49"/>
      <c r="J29" s="78">
        <v>1250000</v>
      </c>
      <c r="K29" s="80">
        <f t="shared" si="1"/>
        <v>448300</v>
      </c>
      <c r="L29" s="74">
        <v>0.43</v>
      </c>
      <c r="M29" s="75">
        <f t="shared" si="0"/>
        <v>0.43</v>
      </c>
    </row>
    <row r="30" spans="1:13" ht="11.25" customHeight="1">
      <c r="A30" s="78"/>
      <c r="B30" s="79"/>
      <c r="C30" s="70"/>
      <c r="D30" s="49"/>
      <c r="E30" s="78">
        <v>1500000</v>
      </c>
      <c r="F30" s="79"/>
      <c r="G30" s="79">
        <v>555800</v>
      </c>
      <c r="H30" s="70">
        <v>0.45</v>
      </c>
      <c r="I30" s="49"/>
      <c r="J30" s="78">
        <v>1500000</v>
      </c>
      <c r="K30" s="80">
        <f t="shared" si="1"/>
        <v>555800</v>
      </c>
      <c r="L30" s="74">
        <v>0.45</v>
      </c>
      <c r="M30" s="75">
        <f t="shared" si="0"/>
        <v>0.45</v>
      </c>
    </row>
    <row r="31" spans="1:13" ht="11.25" customHeight="1">
      <c r="A31" s="78"/>
      <c r="B31" s="79"/>
      <c r="C31" s="70"/>
      <c r="D31" s="49"/>
      <c r="E31" s="78">
        <v>2000000</v>
      </c>
      <c r="F31" s="79"/>
      <c r="G31" s="79">
        <v>780800</v>
      </c>
      <c r="H31" s="70">
        <v>0.49</v>
      </c>
      <c r="I31" s="49"/>
      <c r="J31" s="78">
        <v>2000000</v>
      </c>
      <c r="K31" s="80">
        <f t="shared" si="1"/>
        <v>780800</v>
      </c>
      <c r="L31" s="74">
        <v>0.49</v>
      </c>
      <c r="M31" s="75">
        <f t="shared" si="0"/>
        <v>0.45</v>
      </c>
    </row>
    <row r="32" spans="1:13" ht="11.25" customHeight="1">
      <c r="A32" s="78"/>
      <c r="B32" s="79"/>
      <c r="C32" s="70"/>
      <c r="D32" s="49"/>
      <c r="E32" s="78">
        <v>2500000</v>
      </c>
      <c r="F32" s="79"/>
      <c r="G32" s="79">
        <v>1025800</v>
      </c>
      <c r="H32" s="70">
        <v>0.53</v>
      </c>
      <c r="I32" s="49"/>
      <c r="J32" s="78">
        <v>2500000</v>
      </c>
      <c r="K32" s="80">
        <f t="shared" si="1"/>
        <v>1005800</v>
      </c>
      <c r="L32" s="74">
        <v>0.53</v>
      </c>
      <c r="M32" s="75">
        <f t="shared" si="0"/>
        <v>0.45</v>
      </c>
    </row>
    <row r="33" spans="1:18" ht="11.25" customHeight="1">
      <c r="A33" s="78"/>
      <c r="B33" s="79"/>
      <c r="C33" s="70"/>
      <c r="D33" s="49"/>
      <c r="E33" s="78">
        <v>3000000</v>
      </c>
      <c r="F33" s="79"/>
      <c r="G33" s="79">
        <v>1290800</v>
      </c>
      <c r="H33" s="70">
        <v>0.55000000000000004</v>
      </c>
      <c r="I33" s="49"/>
      <c r="J33" s="78">
        <v>3000000</v>
      </c>
      <c r="K33" s="80">
        <f t="shared" si="1"/>
        <v>1230800</v>
      </c>
      <c r="L33" s="74">
        <v>0.55000000000000004</v>
      </c>
      <c r="M33" s="75">
        <f t="shared" si="0"/>
        <v>0.45</v>
      </c>
    </row>
    <row r="34" spans="1:18" ht="11.25" customHeight="1">
      <c r="A34" s="78"/>
      <c r="B34" s="79"/>
      <c r="C34" s="70"/>
      <c r="D34" s="49"/>
      <c r="E34" s="78">
        <v>10000000</v>
      </c>
      <c r="F34" s="79"/>
      <c r="G34" s="79">
        <v>5140800</v>
      </c>
      <c r="H34" s="70">
        <v>0.6</v>
      </c>
      <c r="I34" s="49"/>
      <c r="J34" s="78">
        <v>10000000</v>
      </c>
      <c r="K34" s="80">
        <f t="shared" si="1"/>
        <v>4380800</v>
      </c>
      <c r="L34" s="74">
        <v>0.6</v>
      </c>
      <c r="M34" s="75">
        <f t="shared" si="0"/>
        <v>0.45</v>
      </c>
    </row>
    <row r="35" spans="1:18" ht="11.25" customHeight="1">
      <c r="A35" s="81"/>
      <c r="B35" s="82"/>
      <c r="C35" s="83"/>
      <c r="D35" s="64"/>
      <c r="E35" s="81">
        <v>17184000</v>
      </c>
      <c r="F35" s="84"/>
      <c r="G35" s="82">
        <v>9451200</v>
      </c>
      <c r="H35" s="83">
        <v>0.55000000000000004</v>
      </c>
      <c r="I35" s="49"/>
      <c r="J35" s="81">
        <v>17184000</v>
      </c>
      <c r="K35" s="85">
        <f t="shared" si="1"/>
        <v>7613600</v>
      </c>
      <c r="L35" s="86">
        <v>0.55000000000000004</v>
      </c>
      <c r="M35" s="87">
        <f t="shared" si="0"/>
        <v>0.45</v>
      </c>
    </row>
    <row r="36" spans="1:18" ht="3" customHeight="1"/>
    <row r="37" spans="1:18" ht="13.5" customHeight="1">
      <c r="A37" s="339" t="str">
        <f>+$J$6&amp;" 'Actual' Estate Tax  (Current Law)"</f>
        <v>2011 'Actual' Estate Tax  (Current Law)</v>
      </c>
      <c r="B37" s="340"/>
      <c r="C37" s="341"/>
      <c r="D37" s="88"/>
      <c r="E37" s="342" t="s">
        <v>198</v>
      </c>
      <c r="F37" s="343"/>
      <c r="G37" s="343"/>
      <c r="H37" s="344"/>
      <c r="I37" s="88"/>
      <c r="J37" s="345" t="s">
        <v>199</v>
      </c>
      <c r="K37" s="346"/>
      <c r="L37" s="346"/>
      <c r="M37" s="347"/>
    </row>
    <row r="38" spans="1:18" ht="12.75" customHeight="1">
      <c r="A38" s="220" t="s">
        <v>28</v>
      </c>
      <c r="B38" s="221">
        <f>J6</f>
        <v>2011</v>
      </c>
      <c r="C38" s="222" t="str">
        <f>IF($J$6&gt;2012,"ERROR","")</f>
        <v/>
      </c>
      <c r="D38" s="55"/>
      <c r="E38" s="223" t="s">
        <v>28</v>
      </c>
      <c r="F38" s="224"/>
      <c r="G38" s="225">
        <f>IF($J$6+$E$7&lt;2013,2013,$J$6+$E$7)</f>
        <v>2021</v>
      </c>
      <c r="H38" s="226" t="s">
        <v>30</v>
      </c>
      <c r="I38" s="55"/>
      <c r="J38" s="223" t="s">
        <v>28</v>
      </c>
      <c r="K38" s="225">
        <f>IF($J$6+$E$7&lt;2013,2013,$J$6+$E$7)</f>
        <v>2021</v>
      </c>
      <c r="L38" s="227"/>
      <c r="M38" s="226" t="s">
        <v>30</v>
      </c>
    </row>
    <row r="39" spans="1:18" ht="13.5" customHeight="1">
      <c r="A39" s="89" t="s">
        <v>27</v>
      </c>
      <c r="B39" s="271">
        <f>$E$5</f>
        <v>10000000</v>
      </c>
      <c r="C39" s="91"/>
      <c r="D39" s="51"/>
      <c r="E39" s="89" t="str">
        <f>IF($E$7&lt;$N$39," Estate in "&amp;$N$39&amp;" Yrs"," Estate in "&amp;$E$7&amp;" Yrs")</f>
        <v xml:space="preserve"> Estate in 10 Yrs</v>
      </c>
      <c r="F39" s="92"/>
      <c r="G39" s="271">
        <f>$E$8</f>
        <v>16288946.267774416</v>
      </c>
      <c r="H39" s="93">
        <f>$E$6</f>
        <v>0.05</v>
      </c>
      <c r="I39" s="51"/>
      <c r="J39" s="89" t="str">
        <f>IF($E$7&lt;$N$39," Estate in "&amp;$N$39&amp;" Yrs"," Estate in "&amp;$E$7&amp;" Yrs")</f>
        <v xml:space="preserve"> Estate in 10 Yrs</v>
      </c>
      <c r="K39" s="271">
        <f>$E$8</f>
        <v>16288946.267774416</v>
      </c>
      <c r="L39" s="92"/>
      <c r="M39" s="93">
        <f>$E$6</f>
        <v>0.05</v>
      </c>
      <c r="N39" s="65">
        <f>2013-J6</f>
        <v>2</v>
      </c>
    </row>
    <row r="40" spans="1:18" ht="13.5" customHeight="1">
      <c r="A40" s="89" t="s">
        <v>29</v>
      </c>
      <c r="B40" s="112">
        <f>IF(B39&lt;J7,B39,J7)</f>
        <v>5000000</v>
      </c>
      <c r="C40" s="91"/>
      <c r="D40" s="51"/>
      <c r="E40" s="362" t="s">
        <v>29</v>
      </c>
      <c r="F40" s="363"/>
      <c r="G40" s="112">
        <f>IF(G39&lt;1000000,G39,1000000)</f>
        <v>1000000</v>
      </c>
      <c r="H40" s="93">
        <v>0</v>
      </c>
      <c r="I40" s="51"/>
      <c r="J40" s="89" t="s">
        <v>29</v>
      </c>
      <c r="K40" s="112">
        <f>IF(K39&lt;J12,K39,J12)</f>
        <v>4700000</v>
      </c>
      <c r="L40" s="92"/>
      <c r="M40" s="93">
        <f>$E$13</f>
        <v>0.03</v>
      </c>
    </row>
    <row r="41" spans="1:18" ht="13.5" customHeight="1">
      <c r="A41" s="89" t="str">
        <f>IF($E$9=TRUE," Spouse's Estate"," Taxable Estate")</f>
        <v xml:space="preserve"> Spouse's Estate</v>
      </c>
      <c r="B41" s="90">
        <f>IF($E$9=TRUE,B39-B40,B39)</f>
        <v>5000000</v>
      </c>
      <c r="C41" s="273" t="s">
        <v>69</v>
      </c>
      <c r="D41" s="51"/>
      <c r="E41" s="89" t="str">
        <f>IF($E$9=TRUE," Spouse's Estate"," Taxable Estate")</f>
        <v xml:space="preserve"> Spouse's Estate</v>
      </c>
      <c r="F41" s="92"/>
      <c r="G41" s="90">
        <f>IF($E$9=TRUE,G39-G40,G39)</f>
        <v>15288946.267774416</v>
      </c>
      <c r="H41" s="270" t="s">
        <v>69</v>
      </c>
      <c r="I41" s="51"/>
      <c r="J41" s="89" t="str">
        <f>IF($E$9=TRUE," Spouse's Estate"," Taxable Estate")</f>
        <v xml:space="preserve"> Spouse's Estate</v>
      </c>
      <c r="K41" s="90">
        <f>IF($E$9=TRUE,K39-K40,K39)</f>
        <v>11588946.267774416</v>
      </c>
      <c r="L41" s="92"/>
      <c r="M41" s="270" t="s">
        <v>69</v>
      </c>
      <c r="N41" s="359" t="s">
        <v>313</v>
      </c>
      <c r="O41" s="360"/>
      <c r="P41" s="360"/>
      <c r="Q41" s="361"/>
    </row>
    <row r="42" spans="1:18" ht="13.5" customHeight="1">
      <c r="A42" s="89" t="str">
        <f>" "&amp;$H$5&amp;" Estate Tax *"</f>
        <v xml:space="preserve"> NJ Estate Tax *</v>
      </c>
      <c r="B42" s="94">
        <f>VLOOKUP($H$5,States,11,FALSE)</f>
        <v>965000</v>
      </c>
      <c r="C42" s="93">
        <f>B42/$B$39</f>
        <v>9.6500000000000002E-2</v>
      </c>
      <c r="D42" s="51"/>
      <c r="E42" s="362" t="str">
        <f>" "&amp;$H$5&amp;" Estate Tax*"</f>
        <v xml:space="preserve"> NJ Estate Tax*</v>
      </c>
      <c r="F42" s="363"/>
      <c r="G42" s="267">
        <f>IF(IF(VLOOKUP($H$5,States,4,FALSE)="Pickup",MAX(VLOOKUP($H$5,States,12,FALSE),$P$42),VLOOKUP($H$5,States,12,FALSE))-G43&lt;0,0,IF(VLOOKUP($H$5,States,4,FALSE)="Pickup",MAX(VLOOKUP($H$5,States,12,FALSE),$P$42),VLOOKUP($H$5,States,12,FALSE))-G43)</f>
        <v>1965031.4028439065</v>
      </c>
      <c r="H42" s="93">
        <f>G42/$G$39</f>
        <v>0.12063588218296652</v>
      </c>
      <c r="I42" s="51"/>
      <c r="J42" s="89" t="str">
        <f>" "&amp;$H$5&amp;" Estate Tax*"</f>
        <v xml:space="preserve"> NJ Estate Tax*</v>
      </c>
      <c r="K42" s="94">
        <f>IF(H5="TN",0,VLOOKUP($H$5,States,12,FALSE))</f>
        <v>1965031.4028439065</v>
      </c>
      <c r="L42" s="92"/>
      <c r="M42" s="93">
        <f>K42/$K$39</f>
        <v>0.12063588218296652</v>
      </c>
      <c r="N42" s="275">
        <f>IF(Calculator!$B$39&lt;=1000000,0,VLOOKUP(IF(Calculator!$E$9=TRUE,IF(Calculator!$J$9=TRUE,Calculator!$G$39-1000000,Calculator!$G$39),Calculator!$G$39),StateTaxes,2)+((IF(Calculator!$E$9=TRUE,IF(Calculator!$J$9=TRUE,Calculator!$G$39-1000000,Calculator!$G$39),Calculator!$G$39)-VLOOKUP(IF(Calculator!$E$9=TRUE,IF(Calculator!$J$9=TRUE,Calculator!$G$39-1000000,Calculator!$G$39),Calculator!$G$39),StateTaxes,1))*VLOOKUP(IF(Calculator!$E$9=TRUE,IF(Calculator!$J$9=TRUE,Calculator!$G$39-1000000,Calculator!$G$39),Calculator!$G$39),StateTaxes,3)))</f>
        <v>1913031.4028439065</v>
      </c>
      <c r="O42" s="276" t="e">
        <f ca="1">IF(NOW()&gt;$M$5,"Expired",VLOOKUP(IF($E$9=TRUE,$E$8-G40-G43,$E$8),ETable2,3)+(IF($E$9=TRUE,$E$8-G40-G43,$E$8)-VLOOKUP(IF($E$9=TRUE,$E$8-G40-G43,$E$8),ETable2,1))*VLOOKUP(IF($E$9=TRUE,$E$8-G40-G43,$E$8),ETable2,4))+IF((VLOOKUP(G40,ETable2,3)+(G40-VLOOKUP(G40,ETable2,1))*VLOOKUP(G40,ETable2,4))&gt;G44,-G44,(VLOOKUP(G40,ETable2,3)+(G40-VLOOKUP(G40,ETable2,1))*VLOOKUP(G40,ETable2,4))*-1)</f>
        <v>#VALUE!</v>
      </c>
      <c r="P42" s="276" t="e">
        <f ca="1">IF(N42&gt;O42,O42,N42)</f>
        <v>#VALUE!</v>
      </c>
      <c r="Q42" s="277" t="e">
        <f ca="1">MIN(P42,G42+G43)</f>
        <v>#VALUE!</v>
      </c>
    </row>
    <row r="43" spans="1:18" ht="13.5" customHeight="1">
      <c r="A43" s="89" t="str">
        <f>" "&amp;$H$5&amp;" Inheritance Tax*"</f>
        <v xml:space="preserve"> NJ Inheritance Tax*</v>
      </c>
      <c r="B43" s="94">
        <f>VLOOKUP($H$5,States,13,FALSE)</f>
        <v>0</v>
      </c>
      <c r="C43" s="93">
        <f>B43/$B$39</f>
        <v>0</v>
      </c>
      <c r="D43" s="51"/>
      <c r="E43" s="362" t="str">
        <f>" "&amp;$H$5&amp;" Inheritance Tax*"</f>
        <v xml:space="preserve"> NJ Inheritance Tax*</v>
      </c>
      <c r="F43" s="363"/>
      <c r="G43" s="94">
        <f>VLOOKUP($H$5,States,14,FALSE)</f>
        <v>0</v>
      </c>
      <c r="H43" s="93">
        <f>G43/$G$39</f>
        <v>0</v>
      </c>
      <c r="I43" s="51"/>
      <c r="J43" s="89" t="str">
        <f>" "&amp;$H$5&amp;" Inheritance Tax*"</f>
        <v xml:space="preserve"> NJ Inheritance Tax*</v>
      </c>
      <c r="K43" s="94">
        <f>VLOOKUP($H$5,States,14,FALSE)</f>
        <v>0</v>
      </c>
      <c r="L43" s="92"/>
      <c r="M43" s="93">
        <f>K43/$K$39</f>
        <v>0</v>
      </c>
      <c r="N43" s="101"/>
    </row>
    <row r="44" spans="1:18" ht="13.5" customHeight="1">
      <c r="A44" s="89" t="s">
        <v>279</v>
      </c>
      <c r="B44" s="95" t="str">
        <f ca="1">IF(NOW()&gt;$M$5,"Expired",VLOOKUP(IF($E$9=TRUE,IF($B$39-$B$40-$B$42-$B$43&lt;0,0,$B$39-$B$40-$B$42-$B$43),$B$39-$B$42-$B$43),ETable1,2)+(IF($E$9=TRUE,IF($B$39-$B$40-$B$42-$B$43&lt;0,0,$B$39-$B$40-$B$42-$B$43),$B$39-$B$42-$B$43)-VLOOKUP(IF($E$9=TRUE,IF($B$39-$B$40-$B$42-$B$43&lt;0,0,$B$39-$B$40-$B$42-$B$43),$B$39-$B$42-$B$43),ETable1,1))*VLOOKUP(IF($E$9=TRUE,IF($B$39-$B$40-$B$42-$B$43&lt;0,0,$B$39-$B$40-$B$42-$B$43),$B$39-$B$42-$B$43),ETable1,3))</f>
        <v>Expired</v>
      </c>
      <c r="C44" s="93" t="e">
        <f ca="1">B44/$B$39</f>
        <v>#VALUE!</v>
      </c>
      <c r="D44" s="51"/>
      <c r="E44" s="362" t="s">
        <v>279</v>
      </c>
      <c r="F44" s="363"/>
      <c r="G44" s="95" t="str">
        <f ca="1">IF(NOW()&gt;$M$5,"Expired",VLOOKUP(IF($E$9=TRUE,$E$8-G40,$E$8),ETable2,3)+(IF($E$9=TRUE,$E$8-G40-G43,$E$8)-VLOOKUP(IF($E$9=TRUE,$E$8-G40,$E$8),ETable2,1))*VLOOKUP(IF($E$9=TRUE,$E$8-G40,$E$8),ETable2,4))</f>
        <v>Expired</v>
      </c>
      <c r="H44" s="93" t="e">
        <f t="shared" ref="H44:H46" ca="1" si="2">G44/$G$39</f>
        <v>#VALUE!</v>
      </c>
      <c r="I44" s="51"/>
      <c r="J44" s="89" t="s">
        <v>279</v>
      </c>
      <c r="K44" s="95" t="str">
        <f ca="1">IF(NOW()&gt;$M$5,"Expired",VLOOKUP(IF($E$9=TRUE,IF($K$39-$K$40-$K$42-$K$43&lt;0,0,$K$39-$K$40-$K$42-$K$43),$K$39-$K$42-$K$43),ETable3,2)+(IF($E$9=TRUE,IF($K$39-$K$40-$K$42-$K$43&lt;0,0,$K$39-$K$40-$K$42-$K$43),$K$39-$K$42-$K$43)-VLOOKUP(IF($E$9=TRUE,IF($K$39-$K$40-$K$42-$K$43&lt;0,0,$K$39-$K$40-$K$42-$K$43),$K$39-$K$42-$K$43),ETable3,1))*VLOOKUP(IF($E$9=TRUE,IF($K$39-$K$40-$K$42-$K$43&lt;0,0,$K$39-$K$40-$K$42-$K$43),$K$39-$K$42-$K$43),ETable3,4))</f>
        <v>Expired</v>
      </c>
      <c r="L44" s="92"/>
      <c r="M44" s="93" t="e">
        <f t="shared" ref="M44:M46" ca="1" si="3">K44/$K$39</f>
        <v>#VALUE!</v>
      </c>
      <c r="N44" s="95"/>
      <c r="R44" s="300"/>
    </row>
    <row r="45" spans="1:18" ht="13.5" customHeight="1">
      <c r="A45" s="89" t="s">
        <v>280</v>
      </c>
      <c r="B45" s="95">
        <f ca="1">IF((VLOOKUP(B40,ETable1,2)+(B40-VLOOKUP(B40,ETable1,1))*VLOOKUP(B40,ETable1,3))&gt;B44,-B44,(VLOOKUP(B40,ETable1,2)+(B40-VLOOKUP(B40,ETable1,1))*VLOOKUP(B40,ETable1,3))*-1)</f>
        <v>-1730800</v>
      </c>
      <c r="C45" s="93">
        <f ca="1">B45/$B$39</f>
        <v>-0.17308000000000001</v>
      </c>
      <c r="D45" s="51"/>
      <c r="E45" s="330" t="s">
        <v>302</v>
      </c>
      <c r="F45" s="331"/>
      <c r="G45" s="95" t="e">
        <f ca="1">IF((VLOOKUP(G40,ETable2,3)+(G40-VLOOKUP(G40,ETable2,1))*VLOOKUP(G40,ETable2,4))&gt;G44,-G44,(VLOOKUP(G40,ETable2,3)+(G40-VLOOKUP(G40,ETable2,1))*VLOOKUP(G40,ETable2,4))*-1)-Q42</f>
        <v>#VALUE!</v>
      </c>
      <c r="H45" s="93" t="e">
        <f t="shared" ca="1" si="2"/>
        <v>#VALUE!</v>
      </c>
      <c r="I45" s="51"/>
      <c r="J45" s="89" t="s">
        <v>67</v>
      </c>
      <c r="K45" s="95">
        <f ca="1">IF((VLOOKUP(K40,ETable3,2)+(K40-VLOOKUP(K40,ETable3,1))*VLOOKUP(K40,ETable3,4))&gt;K44,-K44,(VLOOKUP(K40,ETable3,2)+(K40-VLOOKUP(K40,ETable3,1))*VLOOKUP(K40,ETable3,4))*-1)</f>
        <v>-1995800</v>
      </c>
      <c r="L45" s="92"/>
      <c r="M45" s="93">
        <f t="shared" ca="1" si="3"/>
        <v>-0.12252480714166473</v>
      </c>
    </row>
    <row r="46" spans="1:18" ht="15" customHeight="1" thickBot="1">
      <c r="A46" s="89" t="s">
        <v>206</v>
      </c>
      <c r="B46" s="230" t="str">
        <f ca="1">IF($M$4="ERROR","ERROR",IF($J$6&gt;2012,"ERROR",IF(NOW()&gt;$M$5,"Expired",IF(B42+B43+B44+B45&lt;0,0,B42+B43+B44+B45))))</f>
        <v>Expired</v>
      </c>
      <c r="C46" s="272" t="e">
        <f ca="1">B46/B39</f>
        <v>#VALUE!</v>
      </c>
      <c r="D46" s="51"/>
      <c r="E46" s="89" t="s">
        <v>206</v>
      </c>
      <c r="F46" s="92"/>
      <c r="G46" s="230" t="str">
        <f ca="1">IF($M$4="ERROR","ERROR",IF($J$6&gt;2012,"ERROR",IF(NOW()&gt;$M$5,"Expired",IF(G42+G43+G44+G45&lt;0,0,G42+G43+G44+G45))))</f>
        <v>Expired</v>
      </c>
      <c r="H46" s="272" t="e">
        <f t="shared" ca="1" si="2"/>
        <v>#VALUE!</v>
      </c>
      <c r="I46" s="51"/>
      <c r="J46" s="89" t="s">
        <v>206</v>
      </c>
      <c r="K46" s="230" t="str">
        <f ca="1">IF($M$4="ERROR","ERROR",IF($J$6&gt;2012,"ERROR",IF(NOW()&gt;$M$5,"Expired",IF(K42+K43+K44+K45&lt;0,0,K42+K43+K44+K45))))</f>
        <v>Expired</v>
      </c>
      <c r="L46" s="92"/>
      <c r="M46" s="272" t="e">
        <f t="shared" ca="1" si="3"/>
        <v>#VALUE!</v>
      </c>
    </row>
    <row r="47" spans="1:18" ht="3.75" customHeight="1" thickTop="1">
      <c r="A47" s="96"/>
      <c r="B47" s="97"/>
      <c r="C47" s="98"/>
      <c r="D47" s="51"/>
      <c r="E47" s="96"/>
      <c r="F47" s="97"/>
      <c r="G47" s="97"/>
      <c r="H47" s="98"/>
      <c r="I47" s="51"/>
      <c r="J47" s="96"/>
      <c r="K47" s="97"/>
      <c r="L47" s="97"/>
      <c r="M47" s="98"/>
    </row>
    <row r="48" spans="1:18" ht="3" customHeight="1"/>
    <row r="49" spans="1:13" ht="13.5" customHeight="1">
      <c r="A49" s="353" t="s">
        <v>208</v>
      </c>
      <c r="B49" s="354"/>
      <c r="C49" s="355"/>
      <c r="E49" s="350" t="str">
        <f>"Projected Estate &amp; Inheritance Taxes in "&amp;$G$38</f>
        <v>Projected Estate &amp; Inheritance Taxes in 2021</v>
      </c>
      <c r="F49" s="351"/>
      <c r="G49" s="351"/>
      <c r="H49" s="351"/>
      <c r="I49" s="351"/>
      <c r="J49" s="351"/>
      <c r="K49" s="351"/>
      <c r="L49" s="351"/>
      <c r="M49" s="352"/>
    </row>
    <row r="50" spans="1:13" ht="3" customHeight="1">
      <c r="A50" s="99"/>
      <c r="B50" s="100"/>
      <c r="C50" s="100"/>
      <c r="D50" s="100"/>
      <c r="E50" s="100"/>
      <c r="F50" s="100"/>
      <c r="G50" s="100"/>
      <c r="H50" s="100"/>
      <c r="I50" s="100"/>
      <c r="J50" s="100"/>
      <c r="K50" s="100"/>
      <c r="L50" s="100"/>
      <c r="M50" s="100"/>
    </row>
    <row r="51" spans="1:13" ht="24.75" customHeight="1">
      <c r="A51" s="338" t="s">
        <v>205</v>
      </c>
      <c r="B51" s="338"/>
      <c r="C51" s="338"/>
      <c r="D51" s="338"/>
      <c r="E51" s="338"/>
      <c r="F51" s="338"/>
      <c r="G51" s="338"/>
      <c r="H51" s="338"/>
      <c r="I51" s="338"/>
      <c r="J51" s="338"/>
      <c r="K51" s="338"/>
      <c r="L51" s="338"/>
      <c r="M51" s="338"/>
    </row>
    <row r="52" spans="1:13" ht="38.25" customHeight="1">
      <c r="A52" s="325" t="s">
        <v>334</v>
      </c>
      <c r="B52" s="325"/>
      <c r="C52" s="325"/>
      <c r="D52" s="325"/>
      <c r="E52" s="325"/>
      <c r="F52" s="325"/>
      <c r="G52" s="325"/>
      <c r="H52" s="325"/>
      <c r="I52" s="325"/>
      <c r="J52" s="325"/>
      <c r="K52" s="325"/>
      <c r="L52" s="325"/>
      <c r="M52" s="325"/>
    </row>
    <row r="53" spans="1:13" ht="39" customHeight="1">
      <c r="A53" s="325" t="s">
        <v>75</v>
      </c>
      <c r="B53" s="325"/>
      <c r="C53" s="325"/>
      <c r="D53" s="325"/>
      <c r="E53" s="325"/>
      <c r="F53" s="325"/>
      <c r="G53" s="325"/>
      <c r="H53" s="325"/>
      <c r="I53" s="325"/>
      <c r="J53" s="325"/>
      <c r="K53" s="325"/>
      <c r="L53" s="325"/>
      <c r="M53" s="325"/>
    </row>
    <row r="54" spans="1:13" ht="12.75" customHeight="1">
      <c r="A54" s="319" t="s">
        <v>335</v>
      </c>
      <c r="B54" s="319"/>
      <c r="C54" s="319"/>
      <c r="D54" s="319"/>
      <c r="E54" s="319"/>
      <c r="F54" s="319"/>
      <c r="G54" s="319"/>
      <c r="H54" s="319"/>
      <c r="I54" s="319"/>
      <c r="J54" s="319"/>
      <c r="K54" s="319"/>
      <c r="L54" s="319"/>
      <c r="M54" s="319"/>
    </row>
    <row r="55" spans="1:13" ht="11.25" customHeight="1">
      <c r="A55" s="109" t="s">
        <v>269</v>
      </c>
      <c r="B55" s="102"/>
      <c r="C55" s="102"/>
      <c r="D55" s="102"/>
      <c r="E55" s="332" t="s">
        <v>21</v>
      </c>
      <c r="F55" s="332"/>
      <c r="G55" s="332"/>
      <c r="H55" s="332"/>
      <c r="I55" s="102"/>
      <c r="J55" s="102"/>
      <c r="K55" s="102"/>
      <c r="L55" s="102"/>
      <c r="M55" s="102"/>
    </row>
  </sheetData>
  <sheetProtection password="D977" sheet="1" objects="1" scenarios="1" selectLockedCells="1"/>
  <mergeCells count="34">
    <mergeCell ref="N41:Q41"/>
    <mergeCell ref="E42:F42"/>
    <mergeCell ref="E43:F43"/>
    <mergeCell ref="E40:F40"/>
    <mergeCell ref="E44:F44"/>
    <mergeCell ref="E55:H55"/>
    <mergeCell ref="J12:J13"/>
    <mergeCell ref="A1:M1"/>
    <mergeCell ref="A51:M51"/>
    <mergeCell ref="A16:C16"/>
    <mergeCell ref="E16:H16"/>
    <mergeCell ref="J16:M16"/>
    <mergeCell ref="E37:H37"/>
    <mergeCell ref="J37:M37"/>
    <mergeCell ref="A37:C37"/>
    <mergeCell ref="A3:M3"/>
    <mergeCell ref="E49:M49"/>
    <mergeCell ref="A49:C49"/>
    <mergeCell ref="K12:M13"/>
    <mergeCell ref="K6:M6"/>
    <mergeCell ref="G6:H6"/>
    <mergeCell ref="A54:M54"/>
    <mergeCell ref="K7:M7"/>
    <mergeCell ref="A9:C9"/>
    <mergeCell ref="K11:M11"/>
    <mergeCell ref="A52:M52"/>
    <mergeCell ref="A53:M53"/>
    <mergeCell ref="G8:H8"/>
    <mergeCell ref="G9:H9"/>
    <mergeCell ref="K9:M9"/>
    <mergeCell ref="K8:M8"/>
    <mergeCell ref="A7:C7"/>
    <mergeCell ref="G10:K10"/>
    <mergeCell ref="E45:F45"/>
  </mergeCells>
  <printOptions horizontalCentered="1"/>
  <pageMargins left="0.5" right="0.5" top="0.5" bottom="0.25" header="0.3" footer="0.3"/>
  <pageSetup scale="95"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locked="0" defaultSize="0" autoFill="0" autoLine="0" autoPict="0">
                <anchor moveWithCells="1">
                  <from>
                    <xdr:col>4</xdr:col>
                    <xdr:colOff>393700</xdr:colOff>
                    <xdr:row>7</xdr:row>
                    <xdr:rowOff>152400</xdr:rowOff>
                  </from>
                  <to>
                    <xdr:col>4</xdr:col>
                    <xdr:colOff>952500</xdr:colOff>
                    <xdr:row>9</xdr:row>
                    <xdr:rowOff>76200</xdr:rowOff>
                  </to>
                </anchor>
              </controlPr>
            </control>
          </mc:Choice>
          <mc:Fallback/>
        </mc:AlternateContent>
        <mc:AlternateContent xmlns:mc="http://schemas.openxmlformats.org/markup-compatibility/2006">
          <mc:Choice Requires="x14">
            <control shapeId="1028" r:id="rId4" name="Check Box 4">
              <controlPr locked="0" defaultSize="0" autoFill="0" autoLine="0" autoPict="0">
                <anchor moveWithCells="1">
                  <from>
                    <xdr:col>4</xdr:col>
                    <xdr:colOff>381000</xdr:colOff>
                    <xdr:row>9</xdr:row>
                    <xdr:rowOff>215900</xdr:rowOff>
                  </from>
                  <to>
                    <xdr:col>4</xdr:col>
                    <xdr:colOff>787400</xdr:colOff>
                    <xdr:row>11</xdr:row>
                    <xdr:rowOff>38100</xdr:rowOff>
                  </to>
                </anchor>
              </controlPr>
            </control>
          </mc:Choice>
          <mc:Fallback/>
        </mc:AlternateContent>
        <mc:AlternateContent xmlns:mc="http://schemas.openxmlformats.org/markup-compatibility/2006">
          <mc:Choice Requires="x14">
            <control shapeId="1059" r:id="rId5" name="Check Box 35">
              <controlPr locked="0" defaultSize="0" autoFill="0" autoLine="0" autoPict="0">
                <anchor moveWithCells="1">
                  <from>
                    <xdr:col>9</xdr:col>
                    <xdr:colOff>393700</xdr:colOff>
                    <xdr:row>7</xdr:row>
                    <xdr:rowOff>152400</xdr:rowOff>
                  </from>
                  <to>
                    <xdr:col>9</xdr:col>
                    <xdr:colOff>952500</xdr:colOff>
                    <xdr:row>9</xdr:row>
                    <xdr:rowOff>76200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showRowColHeaders="0" zoomScale="85" zoomScaleNormal="85" zoomScalePageLayoutView="85" workbookViewId="0">
      <selection sqref="A1:J1"/>
    </sheetView>
  </sheetViews>
  <sheetFormatPr baseColWidth="10" defaultColWidth="8.7109375" defaultRowHeight="12" x14ac:dyDescent="0"/>
  <cols>
    <col min="1" max="1" width="0.85546875" style="48" customWidth="1"/>
    <col min="2" max="2" width="17" style="48" customWidth="1"/>
    <col min="3" max="5" width="10.5703125" style="48" customWidth="1"/>
    <col min="6" max="6" width="1.42578125" style="48" customWidth="1"/>
    <col min="7" max="7" width="5.42578125" style="48" customWidth="1"/>
    <col min="8" max="8" width="9.28515625" style="48" customWidth="1"/>
    <col min="9" max="9" width="8.140625" style="48" customWidth="1"/>
    <col min="10" max="10" width="7.5703125" style="48" customWidth="1"/>
    <col min="11" max="16384" width="8.7109375" style="48"/>
  </cols>
  <sheetData>
    <row r="1" spans="1:10" ht="21" customHeight="1">
      <c r="A1" s="367" t="s">
        <v>193</v>
      </c>
      <c r="B1" s="367"/>
      <c r="C1" s="367"/>
      <c r="D1" s="367"/>
      <c r="E1" s="367"/>
      <c r="F1" s="367"/>
      <c r="G1" s="367"/>
      <c r="H1" s="367"/>
      <c r="I1" s="367"/>
      <c r="J1" s="367"/>
    </row>
    <row r="2" spans="1:10" ht="19.5" customHeight="1">
      <c r="B2" s="368" t="s">
        <v>209</v>
      </c>
      <c r="C2" s="368"/>
      <c r="D2" s="368"/>
      <c r="E2" s="368"/>
      <c r="F2" s="368"/>
      <c r="G2" s="368"/>
      <c r="H2" s="368"/>
      <c r="I2" s="368"/>
      <c r="J2" s="368"/>
    </row>
    <row r="3" spans="1:10" ht="18" customHeight="1">
      <c r="B3" s="369" t="s">
        <v>288</v>
      </c>
      <c r="C3" s="369"/>
      <c r="D3" s="369"/>
      <c r="E3" s="369"/>
      <c r="F3" s="369"/>
      <c r="G3" s="102"/>
      <c r="H3" s="364" t="s">
        <v>200</v>
      </c>
      <c r="I3" s="364"/>
      <c r="J3" s="364"/>
    </row>
    <row r="4" spans="1:10" ht="12.75" customHeight="1">
      <c r="B4" s="369"/>
      <c r="C4" s="369"/>
      <c r="D4" s="369"/>
      <c r="E4" s="369"/>
      <c r="F4" s="369"/>
      <c r="G4" s="102"/>
      <c r="H4" s="365" t="s">
        <v>201</v>
      </c>
      <c r="I4" s="365"/>
      <c r="J4" s="365"/>
    </row>
    <row r="5" spans="1:10">
      <c r="B5" s="369"/>
      <c r="C5" s="369"/>
      <c r="D5" s="369"/>
      <c r="E5" s="369"/>
      <c r="F5" s="369"/>
      <c r="G5" s="102"/>
      <c r="H5" s="210">
        <v>0</v>
      </c>
      <c r="I5" s="211">
        <v>0</v>
      </c>
      <c r="J5" s="212">
        <v>0</v>
      </c>
    </row>
    <row r="6" spans="1:10">
      <c r="B6" s="369"/>
      <c r="C6" s="369"/>
      <c r="D6" s="369"/>
      <c r="E6" s="369"/>
      <c r="F6" s="369"/>
      <c r="G6" s="102"/>
      <c r="H6" s="213">
        <v>100000</v>
      </c>
      <c r="I6" s="214">
        <v>0</v>
      </c>
      <c r="J6" s="215">
        <v>8.0000000000000002E-3</v>
      </c>
    </row>
    <row r="7" spans="1:10">
      <c r="B7" s="369"/>
      <c r="C7" s="369"/>
      <c r="D7" s="369"/>
      <c r="E7" s="369"/>
      <c r="F7" s="369"/>
      <c r="G7" s="102"/>
      <c r="H7" s="213">
        <v>150000</v>
      </c>
      <c r="I7" s="214">
        <v>400</v>
      </c>
      <c r="J7" s="215">
        <v>1.6E-2</v>
      </c>
    </row>
    <row r="8" spans="1:10">
      <c r="B8" s="369"/>
      <c r="C8" s="369"/>
      <c r="D8" s="369"/>
      <c r="E8" s="369"/>
      <c r="F8" s="369"/>
      <c r="G8" s="102"/>
      <c r="H8" s="213">
        <v>200000</v>
      </c>
      <c r="I8" s="216">
        <v>1200</v>
      </c>
      <c r="J8" s="215">
        <v>2.4E-2</v>
      </c>
    </row>
    <row r="9" spans="1:10">
      <c r="B9" s="369"/>
      <c r="C9" s="369"/>
      <c r="D9" s="369"/>
      <c r="E9" s="369"/>
      <c r="F9" s="369"/>
      <c r="G9" s="102"/>
      <c r="H9" s="213">
        <v>300000</v>
      </c>
      <c r="I9" s="216">
        <v>3600</v>
      </c>
      <c r="J9" s="215">
        <v>3.2000000000000001E-2</v>
      </c>
    </row>
    <row r="10" spans="1:10">
      <c r="B10" s="369"/>
      <c r="C10" s="369"/>
      <c r="D10" s="369"/>
      <c r="E10" s="369"/>
      <c r="F10" s="369"/>
      <c r="G10" s="102"/>
      <c r="H10" s="213">
        <v>500000</v>
      </c>
      <c r="I10" s="216">
        <v>10000</v>
      </c>
      <c r="J10" s="215">
        <v>0.04</v>
      </c>
    </row>
    <row r="11" spans="1:10" ht="12.75" customHeight="1">
      <c r="B11" s="369"/>
      <c r="C11" s="369"/>
      <c r="D11" s="369"/>
      <c r="E11" s="369"/>
      <c r="F11" s="369"/>
      <c r="G11" s="102"/>
      <c r="H11" s="213">
        <v>700000</v>
      </c>
      <c r="I11" s="216">
        <v>18000</v>
      </c>
      <c r="J11" s="215">
        <v>4.8000000000000001E-2</v>
      </c>
    </row>
    <row r="12" spans="1:10">
      <c r="B12" s="369"/>
      <c r="C12" s="369"/>
      <c r="D12" s="369"/>
      <c r="E12" s="369"/>
      <c r="F12" s="369"/>
      <c r="G12" s="102"/>
      <c r="H12" s="213">
        <v>900000</v>
      </c>
      <c r="I12" s="216">
        <v>27600</v>
      </c>
      <c r="J12" s="215">
        <v>5.6000000000000001E-2</v>
      </c>
    </row>
    <row r="13" spans="1:10">
      <c r="B13" s="366" t="s">
        <v>303</v>
      </c>
      <c r="C13" s="366"/>
      <c r="D13" s="366"/>
      <c r="E13" s="366"/>
      <c r="F13" s="366"/>
      <c r="G13" s="257"/>
      <c r="H13" s="213">
        <v>1100000</v>
      </c>
      <c r="I13" s="216">
        <v>38800</v>
      </c>
      <c r="J13" s="215">
        <v>6.4000000000000001E-2</v>
      </c>
    </row>
    <row r="14" spans="1:10">
      <c r="B14" s="371" t="s">
        <v>310</v>
      </c>
      <c r="C14" s="371"/>
      <c r="D14" s="371"/>
      <c r="E14" s="371"/>
      <c r="F14" s="371"/>
      <c r="H14" s="213">
        <v>1600000</v>
      </c>
      <c r="I14" s="216">
        <v>70800</v>
      </c>
      <c r="J14" s="215">
        <v>7.1999999999999995E-2</v>
      </c>
    </row>
    <row r="15" spans="1:10" ht="15" customHeight="1">
      <c r="B15" s="372" t="s">
        <v>311</v>
      </c>
      <c r="C15" s="372"/>
      <c r="D15" s="372"/>
      <c r="E15" s="372"/>
      <c r="F15" s="372"/>
      <c r="G15" s="258"/>
      <c r="H15" s="213">
        <v>2100000</v>
      </c>
      <c r="I15" s="216">
        <v>106800</v>
      </c>
      <c r="J15" s="215">
        <v>0.08</v>
      </c>
    </row>
    <row r="16" spans="1:10" ht="12.75" customHeight="1">
      <c r="C16" s="102"/>
      <c r="D16" s="102"/>
      <c r="E16" s="102"/>
      <c r="F16" s="102"/>
      <c r="G16" s="258"/>
      <c r="H16" s="213">
        <v>2600000</v>
      </c>
      <c r="I16" s="216">
        <v>146800</v>
      </c>
      <c r="J16" s="215">
        <v>8.7999999999999995E-2</v>
      </c>
    </row>
    <row r="17" spans="2:10" ht="12.75" customHeight="1">
      <c r="B17" s="369" t="s">
        <v>289</v>
      </c>
      <c r="C17" s="369"/>
      <c r="D17" s="369"/>
      <c r="E17" s="369"/>
      <c r="F17" s="369"/>
      <c r="G17" s="258"/>
      <c r="H17" s="213">
        <v>3100000</v>
      </c>
      <c r="I17" s="216">
        <v>190800</v>
      </c>
      <c r="J17" s="215">
        <v>9.6000000000000002E-2</v>
      </c>
    </row>
    <row r="18" spans="2:10" ht="12.75" customHeight="1">
      <c r="B18" s="369"/>
      <c r="C18" s="369"/>
      <c r="D18" s="369"/>
      <c r="E18" s="369"/>
      <c r="F18" s="369"/>
      <c r="G18" s="258"/>
      <c r="H18" s="213">
        <v>3600000</v>
      </c>
      <c r="I18" s="216">
        <v>238800</v>
      </c>
      <c r="J18" s="215">
        <v>0.104</v>
      </c>
    </row>
    <row r="19" spans="2:10" ht="12.75" customHeight="1">
      <c r="B19" s="369"/>
      <c r="C19" s="369"/>
      <c r="D19" s="369"/>
      <c r="E19" s="369"/>
      <c r="F19" s="369"/>
      <c r="G19" s="258"/>
      <c r="H19" s="213">
        <v>4100000</v>
      </c>
      <c r="I19" s="216">
        <v>290800</v>
      </c>
      <c r="J19" s="215">
        <v>0.112</v>
      </c>
    </row>
    <row r="20" spans="2:10" ht="12.75" customHeight="1">
      <c r="B20" s="369"/>
      <c r="C20" s="369"/>
      <c r="D20" s="369"/>
      <c r="E20" s="369"/>
      <c r="F20" s="369"/>
      <c r="G20" s="258"/>
      <c r="H20" s="213">
        <v>5100000</v>
      </c>
      <c r="I20" s="216">
        <v>402800</v>
      </c>
      <c r="J20" s="215">
        <v>0.12</v>
      </c>
    </row>
    <row r="21" spans="2:10" ht="12.75" customHeight="1">
      <c r="B21" s="369"/>
      <c r="C21" s="369"/>
      <c r="D21" s="369"/>
      <c r="E21" s="369"/>
      <c r="F21" s="369"/>
      <c r="G21" s="258"/>
      <c r="H21" s="213">
        <v>6100000</v>
      </c>
      <c r="I21" s="216">
        <v>522800</v>
      </c>
      <c r="J21" s="215">
        <v>0.128</v>
      </c>
    </row>
    <row r="22" spans="2:10" ht="12.75" customHeight="1">
      <c r="B22" s="369"/>
      <c r="C22" s="369"/>
      <c r="D22" s="369"/>
      <c r="E22" s="369"/>
      <c r="F22" s="369"/>
      <c r="G22" s="258"/>
      <c r="H22" s="213">
        <v>7100000</v>
      </c>
      <c r="I22" s="216">
        <v>650800</v>
      </c>
      <c r="J22" s="215">
        <v>0.13600000000000001</v>
      </c>
    </row>
    <row r="23" spans="2:10">
      <c r="B23" s="369"/>
      <c r="C23" s="369"/>
      <c r="D23" s="369"/>
      <c r="E23" s="369"/>
      <c r="F23" s="369"/>
      <c r="G23" s="258"/>
      <c r="H23" s="213">
        <v>8100000</v>
      </c>
      <c r="I23" s="216">
        <v>786800</v>
      </c>
      <c r="J23" s="215">
        <v>0.14399999999999999</v>
      </c>
    </row>
    <row r="24" spans="2:10">
      <c r="B24" s="369"/>
      <c r="C24" s="369"/>
      <c r="D24" s="369"/>
      <c r="E24" s="369"/>
      <c r="F24" s="369"/>
      <c r="H24" s="213">
        <v>9100000</v>
      </c>
      <c r="I24" s="216">
        <v>930800</v>
      </c>
      <c r="J24" s="215">
        <v>0.152</v>
      </c>
    </row>
    <row r="25" spans="2:10" ht="12.75" customHeight="1">
      <c r="B25" s="370" t="s">
        <v>212</v>
      </c>
      <c r="C25" s="370"/>
      <c r="D25" s="370"/>
      <c r="E25" s="370"/>
      <c r="F25" s="370"/>
      <c r="H25" s="217">
        <v>10100000</v>
      </c>
      <c r="I25" s="218">
        <v>1082800</v>
      </c>
      <c r="J25" s="219">
        <v>0.16</v>
      </c>
    </row>
    <row r="26" spans="2:10" ht="12.75" customHeight="1">
      <c r="C26" s="102"/>
      <c r="D26" s="102"/>
      <c r="E26" s="102"/>
      <c r="F26" s="124"/>
    </row>
    <row r="27" spans="2:10" ht="22.5" customHeight="1">
      <c r="B27" s="369" t="s">
        <v>327</v>
      </c>
      <c r="C27" s="369"/>
      <c r="D27" s="369"/>
      <c r="E27" s="369"/>
      <c r="F27" s="124"/>
      <c r="G27" s="373" t="s">
        <v>211</v>
      </c>
      <c r="H27" s="373"/>
      <c r="I27" s="373"/>
      <c r="J27" s="374"/>
    </row>
    <row r="28" spans="2:10" ht="12.75" customHeight="1">
      <c r="B28" s="369"/>
      <c r="C28" s="369"/>
      <c r="D28" s="369"/>
      <c r="E28" s="369"/>
      <c r="F28" s="124"/>
      <c r="G28" s="139"/>
      <c r="H28" s="148" t="s">
        <v>331</v>
      </c>
      <c r="I28" s="148" t="s">
        <v>265</v>
      </c>
      <c r="J28" s="140" t="s">
        <v>202</v>
      </c>
    </row>
    <row r="29" spans="2:10">
      <c r="B29" s="369"/>
      <c r="C29" s="369"/>
      <c r="D29" s="369"/>
      <c r="E29" s="369"/>
      <c r="F29" s="124"/>
      <c r="G29" s="136" t="s">
        <v>210</v>
      </c>
      <c r="H29" s="137" t="s">
        <v>203</v>
      </c>
      <c r="I29" s="137" t="s">
        <v>204</v>
      </c>
      <c r="J29" s="138" t="s">
        <v>230</v>
      </c>
    </row>
    <row r="30" spans="2:10" ht="12.75" customHeight="1">
      <c r="B30" s="369"/>
      <c r="C30" s="369"/>
      <c r="D30" s="369"/>
      <c r="E30" s="369"/>
      <c r="F30" s="124"/>
      <c r="G30" s="103" t="s">
        <v>117</v>
      </c>
      <c r="H30" s="105">
        <v>0.1</v>
      </c>
      <c r="I30" s="105">
        <v>0.15</v>
      </c>
      <c r="J30" s="106">
        <v>0.2</v>
      </c>
    </row>
    <row r="31" spans="2:10" ht="12.75" customHeight="1">
      <c r="B31" s="369"/>
      <c r="C31" s="369"/>
      <c r="D31" s="369"/>
      <c r="E31" s="369"/>
      <c r="F31" s="124"/>
      <c r="G31" s="104" t="s">
        <v>120</v>
      </c>
      <c r="H31" s="107">
        <v>0</v>
      </c>
      <c r="I31" s="107">
        <v>0.15</v>
      </c>
      <c r="J31" s="108">
        <v>0.15</v>
      </c>
    </row>
    <row r="32" spans="2:10" ht="12.75" customHeight="1">
      <c r="B32" s="378" t="s">
        <v>328</v>
      </c>
      <c r="C32" s="378"/>
      <c r="D32" s="378"/>
      <c r="E32" s="378"/>
      <c r="F32" s="124"/>
      <c r="G32" s="104" t="s">
        <v>124</v>
      </c>
      <c r="H32" s="107">
        <v>0</v>
      </c>
      <c r="I32" s="107">
        <v>0.16</v>
      </c>
      <c r="J32" s="108">
        <v>0.16</v>
      </c>
    </row>
    <row r="33" spans="2:10" ht="12" customHeight="1">
      <c r="B33" s="378"/>
      <c r="C33" s="378"/>
      <c r="D33" s="378"/>
      <c r="E33" s="378"/>
      <c r="F33" s="123"/>
      <c r="G33" s="104" t="s">
        <v>130</v>
      </c>
      <c r="H33" s="107">
        <v>0</v>
      </c>
      <c r="I33" s="107">
        <v>0.1</v>
      </c>
      <c r="J33" s="108">
        <v>0.1</v>
      </c>
    </row>
    <row r="34" spans="2:10" ht="12" customHeight="1">
      <c r="B34" s="378"/>
      <c r="C34" s="378"/>
      <c r="D34" s="378"/>
      <c r="E34" s="378"/>
      <c r="G34" s="104" t="s">
        <v>144</v>
      </c>
      <c r="H34" s="107">
        <v>0.01</v>
      </c>
      <c r="I34" s="107">
        <v>0.13</v>
      </c>
      <c r="J34" s="108">
        <v>0.18</v>
      </c>
    </row>
    <row r="35" spans="2:10" ht="12.75" customHeight="1">
      <c r="B35" s="378"/>
      <c r="C35" s="378"/>
      <c r="D35" s="378"/>
      <c r="E35" s="378"/>
      <c r="G35" s="104" t="s">
        <v>150</v>
      </c>
      <c r="H35" s="107">
        <v>0</v>
      </c>
      <c r="I35" s="107">
        <v>0.16</v>
      </c>
      <c r="J35" s="108">
        <v>0.16</v>
      </c>
    </row>
    <row r="36" spans="2:10" ht="12.75" customHeight="1">
      <c r="B36" s="366" t="s">
        <v>246</v>
      </c>
      <c r="C36" s="366"/>
      <c r="D36" s="366"/>
      <c r="E36" s="366"/>
      <c r="G36" s="104" t="s">
        <v>166</v>
      </c>
      <c r="H36" s="131">
        <v>4.4999999999999998E-2</v>
      </c>
      <c r="I36" s="107">
        <v>0.12</v>
      </c>
      <c r="J36" s="108">
        <v>0.15</v>
      </c>
    </row>
    <row r="37" spans="2:10" ht="12.75" customHeight="1">
      <c r="F37" s="111"/>
      <c r="G37" s="263" t="s">
        <v>174</v>
      </c>
      <c r="H37" s="264">
        <v>9.5000000000000001E-2</v>
      </c>
      <c r="I37" s="264">
        <v>9.5000000000000001E-2</v>
      </c>
      <c r="J37" s="265">
        <v>9.5000000000000001E-2</v>
      </c>
    </row>
    <row r="38" spans="2:10" ht="12.75" customHeight="1">
      <c r="B38" s="377" t="s">
        <v>309</v>
      </c>
      <c r="C38" s="377"/>
      <c r="D38" s="377"/>
      <c r="E38" s="377"/>
      <c r="F38" s="111"/>
      <c r="G38" s="375" t="s">
        <v>304</v>
      </c>
      <c r="H38" s="375"/>
      <c r="I38" s="375"/>
      <c r="J38" s="376"/>
    </row>
    <row r="39" spans="2:10" ht="12.75" customHeight="1">
      <c r="B39" s="377"/>
      <c r="C39" s="377"/>
      <c r="D39" s="377"/>
      <c r="E39" s="377"/>
      <c r="F39" s="111"/>
      <c r="G39" s="266"/>
      <c r="H39" s="266"/>
      <c r="I39" s="266"/>
      <c r="J39" s="266"/>
    </row>
    <row r="40" spans="2:10" ht="12.75" customHeight="1">
      <c r="B40" s="377"/>
      <c r="C40" s="377"/>
      <c r="D40" s="377"/>
      <c r="E40" s="377"/>
      <c r="F40" s="102"/>
      <c r="G40" s="102"/>
      <c r="H40" s="102"/>
      <c r="I40" s="102"/>
      <c r="J40" s="102"/>
    </row>
    <row r="41" spans="2:10">
      <c r="B41" s="366" t="s">
        <v>246</v>
      </c>
      <c r="C41" s="366"/>
      <c r="D41" s="366"/>
      <c r="E41" s="366"/>
      <c r="F41" s="102"/>
      <c r="G41" s="102"/>
      <c r="H41" s="102"/>
      <c r="I41" s="102"/>
      <c r="J41" s="102"/>
    </row>
    <row r="42" spans="2:10" ht="11.25" customHeight="1">
      <c r="B42" s="102"/>
      <c r="C42" s="102"/>
      <c r="D42" s="102"/>
      <c r="E42" s="102"/>
      <c r="F42" s="102"/>
      <c r="G42" s="102"/>
      <c r="H42" s="102"/>
      <c r="I42" s="102"/>
      <c r="J42" s="102"/>
    </row>
    <row r="43" spans="2:10" ht="12.75" customHeight="1">
      <c r="B43" s="369" t="s">
        <v>213</v>
      </c>
      <c r="C43" s="369"/>
      <c r="D43" s="369"/>
      <c r="E43" s="369"/>
      <c r="F43" s="369"/>
      <c r="G43" s="369"/>
      <c r="H43" s="369"/>
      <c r="I43" s="369"/>
      <c r="J43" s="369"/>
    </row>
    <row r="44" spans="2:10" ht="12.75" customHeight="1">
      <c r="B44" s="369"/>
      <c r="C44" s="369"/>
      <c r="D44" s="369"/>
      <c r="E44" s="369"/>
      <c r="F44" s="369"/>
      <c r="G44" s="369"/>
      <c r="H44" s="369"/>
      <c r="I44" s="369"/>
      <c r="J44" s="369"/>
    </row>
    <row r="45" spans="2:10">
      <c r="B45" s="369"/>
      <c r="C45" s="369"/>
      <c r="D45" s="369"/>
      <c r="E45" s="369"/>
      <c r="F45" s="369"/>
      <c r="G45" s="369"/>
      <c r="H45" s="369"/>
      <c r="I45" s="369"/>
      <c r="J45" s="369"/>
    </row>
    <row r="46" spans="2:10" ht="12.75" customHeight="1">
      <c r="B46" s="366" t="s">
        <v>290</v>
      </c>
      <c r="C46" s="366"/>
      <c r="D46" s="366"/>
      <c r="E46" s="366"/>
      <c r="F46" s="366"/>
      <c r="G46" s="366"/>
      <c r="H46" s="366"/>
      <c r="I46" s="366"/>
      <c r="J46" s="366"/>
    </row>
    <row r="47" spans="2:10">
      <c r="B47" s="366" t="s">
        <v>319</v>
      </c>
      <c r="C47" s="366"/>
      <c r="D47" s="366"/>
      <c r="E47" s="366"/>
      <c r="F47" s="366"/>
      <c r="G47" s="366"/>
      <c r="H47" s="366"/>
      <c r="I47" s="366"/>
      <c r="J47" s="366"/>
    </row>
    <row r="48" spans="2:10">
      <c r="D48" s="332" t="s">
        <v>34</v>
      </c>
      <c r="E48" s="332"/>
      <c r="F48" s="332"/>
      <c r="G48" s="332"/>
    </row>
    <row r="61" spans="2:2">
      <c r="B61" s="101"/>
    </row>
  </sheetData>
  <sheetProtection password="D977" sheet="1" objects="1" scenarios="1" selectLockedCells="1" selectUnlockedCells="1"/>
  <mergeCells count="21">
    <mergeCell ref="D48:G48"/>
    <mergeCell ref="G27:J27"/>
    <mergeCell ref="B41:E41"/>
    <mergeCell ref="B46:J46"/>
    <mergeCell ref="B47:J47"/>
    <mergeCell ref="G38:J38"/>
    <mergeCell ref="B43:J45"/>
    <mergeCell ref="B38:E40"/>
    <mergeCell ref="B32:E35"/>
    <mergeCell ref="H3:J3"/>
    <mergeCell ref="H4:J4"/>
    <mergeCell ref="B36:E36"/>
    <mergeCell ref="A1:J1"/>
    <mergeCell ref="B2:J2"/>
    <mergeCell ref="B3:F12"/>
    <mergeCell ref="B13:F13"/>
    <mergeCell ref="B25:F25"/>
    <mergeCell ref="B14:F14"/>
    <mergeCell ref="B15:F15"/>
    <mergeCell ref="B17:F24"/>
    <mergeCell ref="B27:E3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83"/>
  <sheetViews>
    <sheetView showGridLines="0" showRowColHeaders="0" workbookViewId="0">
      <pane xSplit="14980" topLeftCell="BK1"/>
      <selection sqref="A1:N1"/>
      <selection pane="topRight" activeCell="T1" sqref="T1"/>
    </sheetView>
  </sheetViews>
  <sheetFormatPr baseColWidth="10" defaultColWidth="8.7109375" defaultRowHeight="10" x14ac:dyDescent="0"/>
  <cols>
    <col min="1" max="1" width="3.42578125" style="157" customWidth="1"/>
    <col min="2" max="2" width="2.5703125" style="157" customWidth="1"/>
    <col min="3" max="3" width="11.5703125" style="149" customWidth="1"/>
    <col min="4" max="4" width="8.140625" style="157" customWidth="1"/>
    <col min="5" max="5" width="8" style="157" customWidth="1"/>
    <col min="6" max="6" width="8.28515625" style="157" customWidth="1"/>
    <col min="7" max="7" width="9.42578125" style="157" customWidth="1"/>
    <col min="8" max="8" width="7.140625" style="158" customWidth="1"/>
    <col min="9" max="9" width="7.140625" style="159" customWidth="1"/>
    <col min="10" max="10" width="12.7109375" style="160" customWidth="1"/>
    <col min="11" max="14" width="9.5703125" style="152" customWidth="1"/>
    <col min="15" max="17" width="16.140625" style="149" hidden="1" customWidth="1"/>
    <col min="18" max="34" width="10.5703125" style="149" hidden="1" customWidth="1"/>
    <col min="35" max="39" width="9" style="149" hidden="1" customWidth="1"/>
    <col min="40" max="40" width="1.5703125" style="149" hidden="1" customWidth="1"/>
    <col min="41" max="62" width="9" style="149" hidden="1" customWidth="1"/>
    <col min="63" max="16384" width="8.7109375" style="149"/>
  </cols>
  <sheetData>
    <row r="1" spans="1:22" ht="21.75" customHeight="1">
      <c r="A1" s="379" t="s">
        <v>284</v>
      </c>
      <c r="B1" s="379"/>
      <c r="C1" s="379"/>
      <c r="D1" s="379"/>
      <c r="E1" s="379"/>
      <c r="F1" s="379"/>
      <c r="G1" s="379"/>
      <c r="H1" s="379"/>
      <c r="I1" s="379"/>
      <c r="J1" s="379"/>
      <c r="K1" s="379"/>
      <c r="L1" s="379"/>
      <c r="M1" s="379"/>
      <c r="N1" s="379"/>
    </row>
    <row r="2" spans="1:22" ht="28.5" customHeight="1">
      <c r="A2" s="380" t="s">
        <v>324</v>
      </c>
      <c r="B2" s="380"/>
      <c r="C2" s="380"/>
      <c r="D2" s="380"/>
      <c r="E2" s="380"/>
      <c r="F2" s="380"/>
      <c r="G2" s="380"/>
      <c r="H2" s="380"/>
      <c r="I2" s="380"/>
      <c r="J2" s="380"/>
      <c r="K2" s="380"/>
      <c r="L2" s="380"/>
      <c r="M2" s="380"/>
      <c r="N2" s="380"/>
    </row>
    <row r="3" spans="1:22" s="151" customFormat="1" ht="27" customHeight="1">
      <c r="A3" s="385" t="s">
        <v>84</v>
      </c>
      <c r="B3" s="385"/>
      <c r="C3" s="385"/>
      <c r="D3" s="291" t="s">
        <v>85</v>
      </c>
      <c r="E3" s="291" t="s">
        <v>86</v>
      </c>
      <c r="F3" s="291" t="s">
        <v>192</v>
      </c>
      <c r="G3" s="291" t="s">
        <v>299</v>
      </c>
      <c r="H3" s="292" t="s">
        <v>254</v>
      </c>
      <c r="I3" s="293" t="s">
        <v>292</v>
      </c>
      <c r="J3" s="295" t="s">
        <v>293</v>
      </c>
      <c r="K3" s="296" t="s">
        <v>320</v>
      </c>
      <c r="L3" s="297" t="s">
        <v>321</v>
      </c>
      <c r="M3" s="296" t="s">
        <v>322</v>
      </c>
      <c r="N3" s="297" t="s">
        <v>323</v>
      </c>
      <c r="O3" s="194" t="s">
        <v>255</v>
      </c>
      <c r="P3" s="150" t="s">
        <v>256</v>
      </c>
      <c r="Q3" s="150" t="s">
        <v>257</v>
      </c>
    </row>
    <row r="4" spans="1:22" s="151" customFormat="1" ht="16.5" customHeight="1">
      <c r="A4" s="386" t="str">
        <f>"Assumptions:  Current Estate:  "&amp;DOLLAR(Calculator!$E$5,-2)&amp;",  Projected Estate:  "&amp;DOLLAR(Calculator!$E$8,-2)&amp;",  Growth:  "&amp;Calculator!$E$6*100&amp;"%,  Applicable Exclusion(s):  "&amp;IF(Calculator!$E$9=TRUE,2,1)&amp;",  Beneficiary Class:  "&amp;Calculator!$H$7&amp;",  State Exclusion - 1st Death:  "&amp;IF(Calculator!$J$9=TRUE,"Yes","No")&amp;",  State Inheritance Adjustment:  "&amp;DOLLAR(Calculator!$J$8,-2)</f>
        <v>Assumptions:  Current Estate:  $10,000,000,  Projected Estate:  $16,288,900,  Growth:  5%,  Applicable Exclusion(s):  2,  Beneficiary Class:  1,  State Exclusion - 1st Death:  Yes,  State Inheritance Adjustment:  $0</v>
      </c>
      <c r="B4" s="387"/>
      <c r="C4" s="387"/>
      <c r="D4" s="387"/>
      <c r="E4" s="387"/>
      <c r="F4" s="387"/>
      <c r="G4" s="387"/>
      <c r="H4" s="387"/>
      <c r="I4" s="387"/>
      <c r="J4" s="387"/>
      <c r="K4" s="388"/>
      <c r="L4" s="388"/>
      <c r="M4" s="388"/>
      <c r="N4" s="389"/>
      <c r="O4" s="290"/>
      <c r="P4" s="290"/>
      <c r="Q4" s="290"/>
    </row>
    <row r="5" spans="1:22" ht="15" customHeight="1">
      <c r="A5" s="205" t="s">
        <v>87</v>
      </c>
      <c r="B5" s="206">
        <v>-1</v>
      </c>
      <c r="C5" s="207" t="s">
        <v>88</v>
      </c>
      <c r="D5" s="205" t="s">
        <v>89</v>
      </c>
      <c r="E5" s="205"/>
      <c r="F5" s="208"/>
      <c r="G5" s="205"/>
      <c r="H5" s="205"/>
      <c r="I5" s="208"/>
      <c r="J5" s="209"/>
      <c r="K5" s="208">
        <v>0</v>
      </c>
      <c r="L5" s="294">
        <v>0</v>
      </c>
      <c r="M5" s="208">
        <v>0</v>
      </c>
      <c r="N5" s="208">
        <v>0</v>
      </c>
      <c r="O5" s="149" t="s">
        <v>258</v>
      </c>
      <c r="P5" s="149" t="s">
        <v>258</v>
      </c>
      <c r="Q5" s="149" t="s">
        <v>258</v>
      </c>
    </row>
    <row r="6" spans="1:22" ht="15" customHeight="1">
      <c r="A6" s="195" t="s">
        <v>90</v>
      </c>
      <c r="B6" s="196">
        <v>-1</v>
      </c>
      <c r="C6" s="197" t="s">
        <v>91</v>
      </c>
      <c r="D6" s="195" t="s">
        <v>89</v>
      </c>
      <c r="E6" s="195"/>
      <c r="F6" s="198"/>
      <c r="G6" s="195"/>
      <c r="H6" s="195"/>
      <c r="I6" s="198"/>
      <c r="J6" s="199"/>
      <c r="K6" s="198">
        <v>0</v>
      </c>
      <c r="L6" s="198">
        <v>0</v>
      </c>
      <c r="M6" s="198">
        <v>0</v>
      </c>
      <c r="N6" s="198">
        <v>0</v>
      </c>
      <c r="O6" s="149" t="s">
        <v>258</v>
      </c>
      <c r="P6" s="149" t="s">
        <v>258</v>
      </c>
      <c r="Q6" s="149" t="s">
        <v>258</v>
      </c>
    </row>
    <row r="7" spans="1:22" ht="15" customHeight="1">
      <c r="A7" s="195" t="s">
        <v>92</v>
      </c>
      <c r="B7" s="196">
        <v>-1</v>
      </c>
      <c r="C7" s="197" t="s">
        <v>93</v>
      </c>
      <c r="D7" s="195" t="s">
        <v>89</v>
      </c>
      <c r="E7" s="195"/>
      <c r="F7" s="198"/>
      <c r="G7" s="195"/>
      <c r="H7" s="195"/>
      <c r="I7" s="198"/>
      <c r="J7" s="199"/>
      <c r="K7" s="198">
        <v>0</v>
      </c>
      <c r="L7" s="198">
        <v>0</v>
      </c>
      <c r="M7" s="198">
        <v>0</v>
      </c>
      <c r="N7" s="198">
        <v>0</v>
      </c>
      <c r="O7" s="149" t="s">
        <v>258</v>
      </c>
      <c r="P7" s="149" t="s">
        <v>258</v>
      </c>
      <c r="Q7" s="149" t="s">
        <v>258</v>
      </c>
    </row>
    <row r="8" spans="1:22" ht="15" customHeight="1">
      <c r="A8" s="195" t="s">
        <v>94</v>
      </c>
      <c r="B8" s="196">
        <v>-1</v>
      </c>
      <c r="C8" s="197" t="s">
        <v>95</v>
      </c>
      <c r="D8" s="195" t="s">
        <v>89</v>
      </c>
      <c r="E8" s="195"/>
      <c r="F8" s="198"/>
      <c r="G8" s="195"/>
      <c r="H8" s="195"/>
      <c r="I8" s="198"/>
      <c r="J8" s="199"/>
      <c r="K8" s="198">
        <v>0</v>
      </c>
      <c r="L8" s="198">
        <v>0</v>
      </c>
      <c r="M8" s="198">
        <v>0</v>
      </c>
      <c r="N8" s="198">
        <v>0</v>
      </c>
      <c r="O8" s="149" t="s">
        <v>258</v>
      </c>
      <c r="P8" s="149" t="s">
        <v>258</v>
      </c>
      <c r="Q8" s="149" t="s">
        <v>258</v>
      </c>
    </row>
    <row r="9" spans="1:22" ht="15" customHeight="1">
      <c r="A9" s="195" t="s">
        <v>96</v>
      </c>
      <c r="B9" s="196">
        <v>-1</v>
      </c>
      <c r="C9" s="197" t="s">
        <v>97</v>
      </c>
      <c r="D9" s="195" t="s">
        <v>89</v>
      </c>
      <c r="E9" s="195"/>
      <c r="F9" s="198"/>
      <c r="G9" s="195"/>
      <c r="H9" s="195"/>
      <c r="I9" s="198"/>
      <c r="J9" s="199"/>
      <c r="K9" s="198">
        <v>0</v>
      </c>
      <c r="L9" s="198">
        <v>0</v>
      </c>
      <c r="M9" s="198">
        <v>0</v>
      </c>
      <c r="N9" s="198">
        <v>0</v>
      </c>
      <c r="O9" s="149" t="s">
        <v>258</v>
      </c>
      <c r="P9" s="149" t="s">
        <v>258</v>
      </c>
      <c r="Q9" s="149" t="s">
        <v>258</v>
      </c>
    </row>
    <row r="10" spans="1:22" ht="15" customHeight="1">
      <c r="A10" s="195" t="s">
        <v>98</v>
      </c>
      <c r="B10" s="196">
        <v>-1</v>
      </c>
      <c r="C10" s="197" t="s">
        <v>99</v>
      </c>
      <c r="D10" s="195" t="s">
        <v>89</v>
      </c>
      <c r="E10" s="195"/>
      <c r="F10" s="198"/>
      <c r="G10" s="195"/>
      <c r="H10" s="195"/>
      <c r="I10" s="198"/>
      <c r="J10" s="199"/>
      <c r="K10" s="198">
        <v>0</v>
      </c>
      <c r="L10" s="198">
        <v>0</v>
      </c>
      <c r="M10" s="198">
        <v>0</v>
      </c>
      <c r="N10" s="198">
        <v>0</v>
      </c>
      <c r="O10" s="149" t="s">
        <v>258</v>
      </c>
      <c r="P10" s="149" t="s">
        <v>258</v>
      </c>
      <c r="Q10" s="149" t="s">
        <v>258</v>
      </c>
    </row>
    <row r="11" spans="1:22" ht="15" customHeight="1">
      <c r="A11" s="195" t="s">
        <v>100</v>
      </c>
      <c r="B11" s="200"/>
      <c r="C11" s="197" t="s">
        <v>101</v>
      </c>
      <c r="D11" s="195" t="s">
        <v>89</v>
      </c>
      <c r="E11" s="201" t="s">
        <v>102</v>
      </c>
      <c r="F11" s="155">
        <v>3500000</v>
      </c>
      <c r="G11" s="195"/>
      <c r="H11" s="195"/>
      <c r="I11" s="198"/>
      <c r="J11" s="202" t="s">
        <v>297</v>
      </c>
      <c r="K11" s="259">
        <f>IF(Calculator!$B$39&lt;=$F11,0,(VLOOKUP(IF(Calculator!$E$9=TRUE,IF(Calculator!$J$9=TRUE,Calculator!$B$39-'State Details'!$F11,Calculator!$B$39),Calculator!$B$39),CT,3)+((IF(Calculator!$E$9=TRUE,IF(Calculator!$J$9=TRUE,Calculator!$B$39-'State Details'!$F11,Calculator!$B$39),Calculator!$B$39)-VLOOKUP(IF(Calculator!$E$9=TRUE,IF(Calculator!$J$9=TRUE,Calculator!$B$39-'State Details'!$F11,Calculator!$B$39),Calculator!$B$39),CT,1))*VLOOKUP(IF(Calculator!$E$9=TRUE,IF(Calculator!$J$9=TRUE,Calculator!$B$39-'State Details'!$F11,Calculator!$B$39),Calculator!$B$39),CT,4))))</f>
        <v>258600</v>
      </c>
      <c r="L11" s="259">
        <f>IF(Calculator!$G$39&lt;=$F11,0,(VLOOKUP(IF(Calculator!$E$9=TRUE,IF(Calculator!$J$9=TRUE,Calculator!$G$39-'State Details'!F11,Calculator!$G$39),Calculator!$G$39),CT,3)+((IF(Calculator!$E$9=TRUE,IF(Calculator!$J$9=TRUE,Calculator!$G$39-'State Details'!F11,Calculator!$G$39),Calculator!$G$39)-VLOOKUP(IF(Calculator!$E$9=TRUE,IF(Calculator!$J$9=TRUE,Calculator!$G$39-'State Details'!F11,Calculator!$G$39),Calculator!$G$39),CT,1))*VLOOKUP(IF(Calculator!$E$9=TRUE,IF(Calculator!$J$9=TRUE,Calculator!$G$39-'State Details'!F11,Calculator!$G$39),Calculator!$G$39),CT,4))))</f>
        <v>962873.55213292991</v>
      </c>
      <c r="M11" s="198">
        <v>0</v>
      </c>
      <c r="N11" s="198">
        <v>0</v>
      </c>
      <c r="O11" s="149" t="s">
        <v>258</v>
      </c>
      <c r="P11" s="149" t="s">
        <v>258</v>
      </c>
      <c r="Q11" s="149" t="s">
        <v>258</v>
      </c>
    </row>
    <row r="12" spans="1:22" ht="15" customHeight="1">
      <c r="A12" s="195" t="s">
        <v>103</v>
      </c>
      <c r="B12" s="196">
        <v>-1</v>
      </c>
      <c r="C12" s="197" t="s">
        <v>104</v>
      </c>
      <c r="D12" s="195" t="s">
        <v>89</v>
      </c>
      <c r="E12" s="201" t="s">
        <v>102</v>
      </c>
      <c r="F12" s="155">
        <v>3500000</v>
      </c>
      <c r="G12" s="195"/>
      <c r="H12" s="195"/>
      <c r="I12" s="198"/>
      <c r="J12" s="202" t="s">
        <v>295</v>
      </c>
      <c r="K12" s="259">
        <f>MIN(R12,S12)</f>
        <v>574000</v>
      </c>
      <c r="L12" s="259">
        <f>MIN(S12,T12)</f>
        <v>1350000</v>
      </c>
      <c r="M12" s="198">
        <v>0</v>
      </c>
      <c r="N12" s="198">
        <v>0</v>
      </c>
      <c r="O12" s="149" t="s">
        <v>258</v>
      </c>
      <c r="P12" s="149" t="s">
        <v>258</v>
      </c>
      <c r="Q12" s="149" t="s">
        <v>258</v>
      </c>
      <c r="R12" s="153">
        <f>IF(Calculator!$B$39&lt;=$F12,0,VLOOKUP(IF(Calculator!$E$9=TRUE,IF(Calculator!$J$9=TRUE,Calculator!$B$39-'State Details'!$F12,Calculator!$B$39),Calculator!$B$39),StateTaxes,2)+((IF(Calculator!$E$9=TRUE,IF(Calculator!$J$9=TRUE,Calculator!$B$39-'State Details'!$F12,Calculator!$B$39),Calculator!$B$39)-VLOOKUP(IF(Calculator!$E$9=TRUE,IF(Calculator!$J$9=TRUE,Calculator!$B$39-'State Details'!$F12,Calculator!$B$39),Calculator!$B$39),StateTaxes,1))*VLOOKUP(IF(Calculator!$E$9=TRUE,IF(Calculator!$J$9=TRUE,Calculator!$B$39-'State Details'!$F12,Calculator!$B$39),Calculator!$B$39),StateTaxes,3)))</f>
        <v>574000</v>
      </c>
      <c r="S12" s="282">
        <f>IF((IF(Calculator!$E$9=TRUE,IF(Calculator!$J$9=TRUE,Calculator!$B$39-'State Details'!$F12,Calculator!$B$39),Calculator!$B$39)-$F$12)*0.45&lt;0,0,(IF(Calculator!$E$9=TRUE,IF(Calculator!$J$9=TRUE,Calculator!$B$39-'State Details'!$F12,Calculator!$B$39),Calculator!$B$39)-$F$12)*0.45)</f>
        <v>1350000</v>
      </c>
      <c r="T12" s="153">
        <f>IF(Calculator!$G$39&lt;=$F12,0,VLOOKUP(IF(Calculator!$E$9=TRUE,IF(Calculator!$J$9=TRUE,Calculator!$G$39-'State Details'!$F12,Calculator!$G$39),Calculator!$G$39),StateTaxes,2)+((IF(Calculator!$E$9=TRUE,IF(Calculator!$J$9=TRUE,Calculator!$G$39-'State Details'!$F12,Calculator!$G$39),Calculator!$G$39)-VLOOKUP(IF(Calculator!$E$9=TRUE,IF(Calculator!$J$9=TRUE,Calculator!$G$39-'State Details'!$F12,Calculator!$G$39),Calculator!$G$39),StateTaxes,1))*VLOOKUP(IF(Calculator!$E$9=TRUE,IF(Calculator!$J$9=TRUE,Calculator!$G$39-'State Details'!$F12,Calculator!$G$39),Calculator!$G$39),StateTaxes,3)))</f>
        <v>1513031.4028439065</v>
      </c>
      <c r="U12" s="282">
        <f>IF((IF(Calculator!$E$9=TRUE,IF(Calculator!$J$9=TRUE,Calculator!$G$39-'State Details'!$F12,Calculator!$G$39),Calculator!$G$39)-$F$12)*0.45&lt;0,0,(IF(Calculator!$E$9=TRUE,IF(Calculator!$J$9=TRUE,Calculator!$G$39-'State Details'!$F12,Calculator!$G$39),Calculator!$G$39)-$F$12)*0.45)</f>
        <v>4180025.8204984874</v>
      </c>
      <c r="V12" s="149" t="s">
        <v>261</v>
      </c>
    </row>
    <row r="13" spans="1:22" ht="14.25" customHeight="1">
      <c r="A13" s="195" t="s">
        <v>105</v>
      </c>
      <c r="B13" s="196">
        <v>-2</v>
      </c>
      <c r="C13" s="197" t="s">
        <v>106</v>
      </c>
      <c r="D13" s="195"/>
      <c r="E13" s="201" t="s">
        <v>102</v>
      </c>
      <c r="F13" s="155">
        <v>1000000</v>
      </c>
      <c r="G13" s="195"/>
      <c r="H13" s="195"/>
      <c r="I13" s="198"/>
      <c r="J13" s="202" t="s">
        <v>295</v>
      </c>
      <c r="K13" s="259">
        <f>IF(Calculator!$B$39&lt;=$F13,0,VLOOKUP(IF(Calculator!$E$9=TRUE,IF(Calculator!$J$9=TRUE,Calculator!$B$39-'State Details'!$F13,Calculator!$B$39),Calculator!$B$39),StateTaxes,2)+((IF(Calculator!$E$9=TRUE,IF(Calculator!$J$9=TRUE,Calculator!$B$39-'State Details'!$F13,Calculator!$B$39),Calculator!$B$39)-VLOOKUP(IF(Calculator!$E$9=TRUE,IF(Calculator!$J$9=TRUE,Calculator!$B$39-'State Details'!$F13,Calculator!$B$39),Calculator!$B$39),StateTaxes,1))*VLOOKUP(IF(Calculator!$E$9=TRUE,IF(Calculator!$J$9=TRUE,Calculator!$B$39-'State Details'!$F13,Calculator!$B$39),Calculator!$B$39),StateTaxes,3)))</f>
        <v>916400</v>
      </c>
      <c r="L13" s="259">
        <f>IF(Calculator!$G$39&lt;=$F13,0,VLOOKUP(IF(Calculator!$E$9=TRUE,IF(Calculator!$J$9=TRUE,Calculator!$G$39-'State Details'!$F13,Calculator!$G$39),Calculator!$G$39),StateTaxes,2)+((IF(Calculator!$E$9=TRUE,IF(Calculator!$J$9=TRUE,Calculator!$G$39-'State Details'!$F13,Calculator!$G$39),Calculator!$G$39)-VLOOKUP(IF(Calculator!$E$9=TRUE,IF(Calculator!$J$9=TRUE,Calculator!$G$39-'State Details'!$F13,Calculator!$G$39),Calculator!$G$39),StateTaxes,1))*VLOOKUP(IF(Calculator!$E$9=TRUE,IF(Calculator!$J$9=TRUE,Calculator!$G$39-'State Details'!$F13,Calculator!$G$39),Calculator!$G$39),StateTaxes,3)))</f>
        <v>1913031.4028439065</v>
      </c>
      <c r="M13" s="198">
        <v>0</v>
      </c>
      <c r="N13" s="198">
        <v>0</v>
      </c>
      <c r="O13" s="149" t="s">
        <v>258</v>
      </c>
      <c r="P13" s="149" t="s">
        <v>258</v>
      </c>
      <c r="Q13" s="149" t="s">
        <v>258</v>
      </c>
    </row>
    <row r="14" spans="1:22" ht="15" customHeight="1">
      <c r="A14" s="195" t="s">
        <v>107</v>
      </c>
      <c r="B14" s="196">
        <v>-1</v>
      </c>
      <c r="C14" s="197" t="s">
        <v>108</v>
      </c>
      <c r="D14" s="195" t="s">
        <v>89</v>
      </c>
      <c r="E14" s="195"/>
      <c r="F14" s="198"/>
      <c r="G14" s="195"/>
      <c r="H14" s="195"/>
      <c r="I14" s="198"/>
      <c r="J14" s="202"/>
      <c r="K14" s="198">
        <v>0</v>
      </c>
      <c r="L14" s="198">
        <v>0</v>
      </c>
      <c r="M14" s="198">
        <v>0</v>
      </c>
      <c r="N14" s="198">
        <v>0</v>
      </c>
      <c r="O14" s="149" t="s">
        <v>258</v>
      </c>
      <c r="P14" s="149" t="s">
        <v>258</v>
      </c>
      <c r="Q14" s="149" t="s">
        <v>258</v>
      </c>
    </row>
    <row r="15" spans="1:22" ht="15" customHeight="1">
      <c r="A15" s="195" t="s">
        <v>109</v>
      </c>
      <c r="B15" s="196">
        <v>-1</v>
      </c>
      <c r="C15" s="197" t="s">
        <v>110</v>
      </c>
      <c r="D15" s="195" t="s">
        <v>89</v>
      </c>
      <c r="E15" s="195"/>
      <c r="F15" s="198"/>
      <c r="G15" s="195"/>
      <c r="H15" s="195"/>
      <c r="I15" s="198"/>
      <c r="J15" s="202"/>
      <c r="K15" s="198">
        <v>0</v>
      </c>
      <c r="L15" s="198">
        <v>0</v>
      </c>
      <c r="M15" s="198">
        <v>0</v>
      </c>
      <c r="N15" s="198">
        <v>0</v>
      </c>
      <c r="O15" s="149" t="s">
        <v>258</v>
      </c>
      <c r="P15" s="149" t="s">
        <v>258</v>
      </c>
      <c r="Q15" s="149" t="s">
        <v>258</v>
      </c>
    </row>
    <row r="16" spans="1:22" ht="15" customHeight="1">
      <c r="A16" s="195" t="s">
        <v>111</v>
      </c>
      <c r="B16" s="196"/>
      <c r="C16" s="197" t="s">
        <v>112</v>
      </c>
      <c r="D16" s="195"/>
      <c r="E16" s="201" t="s">
        <v>102</v>
      </c>
      <c r="F16" s="155">
        <v>3500000</v>
      </c>
      <c r="G16" s="195"/>
      <c r="H16" s="195"/>
      <c r="I16" s="198"/>
      <c r="J16" s="202" t="s">
        <v>294</v>
      </c>
      <c r="K16" s="259">
        <f>MIN(R16,S16)</f>
        <v>574000</v>
      </c>
      <c r="L16" s="259">
        <f>MIN(S16,T16)</f>
        <v>1350000</v>
      </c>
      <c r="M16" s="198">
        <v>0</v>
      </c>
      <c r="N16" s="198">
        <v>0</v>
      </c>
      <c r="O16" s="149" t="s">
        <v>258</v>
      </c>
      <c r="P16" s="149" t="s">
        <v>258</v>
      </c>
      <c r="Q16" s="149" t="s">
        <v>258</v>
      </c>
      <c r="R16" s="153">
        <f>IF(Calculator!$B$39&lt;=$F16,0,VLOOKUP(IF(Calculator!$E$9=TRUE,IF(Calculator!$J$9=TRUE,Calculator!$B$39-'State Details'!$F16,Calculator!$B$39),Calculator!$B$39),StateTaxes,2)+((IF(Calculator!$E$9=TRUE,IF(Calculator!$J$9=TRUE,Calculator!$B$39-'State Details'!$F16,Calculator!$B$39),Calculator!$B$39)-VLOOKUP(IF(Calculator!$E$9=TRUE,IF(Calculator!$J$9=TRUE,Calculator!$B$39-'State Details'!$F16,Calculator!$B$39),Calculator!$B$39),StateTaxes,1))*VLOOKUP(IF(Calculator!$E$9=TRUE,IF(Calculator!$J$9=TRUE,Calculator!$B$39-'State Details'!$F16,Calculator!$B$39),Calculator!$B$39),StateTaxes,3)))</f>
        <v>574000</v>
      </c>
      <c r="S16" s="282">
        <f>IF((IF(Calculator!$E$9=TRUE,IF(Calculator!$J$9=TRUE,Calculator!$B$39-'State Details'!$F16,Calculator!$B$39),Calculator!$B$39)-$F$12)*0.45&lt;0,0,(IF(Calculator!$E$9=TRUE,IF(Calculator!$J$9=TRUE,Calculator!$B$39-'State Details'!$F16,Calculator!$B$39),Calculator!$B$39)-$F$12)*0.45)</f>
        <v>1350000</v>
      </c>
      <c r="T16" s="153">
        <f>IF(Calculator!$G$39&lt;=$F16,0,VLOOKUP(IF(Calculator!$E$9=TRUE,IF(Calculator!$J$9=TRUE,Calculator!$G$39-'State Details'!$F16,Calculator!$G$39),Calculator!$G$39),StateTaxes,2)+((IF(Calculator!$E$9=TRUE,IF(Calculator!$J$9=TRUE,Calculator!$G$39-'State Details'!$F16,Calculator!$G$39),Calculator!$G$39)-VLOOKUP(IF(Calculator!$E$9=TRUE,IF(Calculator!$J$9=TRUE,Calculator!$G$39-'State Details'!$F16,Calculator!$G$39),Calculator!$G$39),StateTaxes,1))*VLOOKUP(IF(Calculator!$E$9=TRUE,IF(Calculator!$J$9=TRUE,Calculator!$G$39-'State Details'!$F16,Calculator!$G$39),Calculator!$G$39),StateTaxes,3)))</f>
        <v>1513031.4028439065</v>
      </c>
      <c r="U16" s="282">
        <f>IF((IF(Calculator!$E$9=TRUE,IF(Calculator!$J$9=TRUE,Calculator!$G$39-'State Details'!$F16,Calculator!$G$39),Calculator!$G$39)-$F$12)*0.45&lt;0,0,(IF(Calculator!$E$9=TRUE,IF(Calculator!$J$9=TRUE,Calculator!$G$39-'State Details'!$F16,Calculator!$G$39),Calculator!$G$39)-$F$12)*0.45)</f>
        <v>4180025.8204984874</v>
      </c>
    </row>
    <row r="17" spans="1:62" ht="15" customHeight="1">
      <c r="A17" s="195" t="s">
        <v>113</v>
      </c>
      <c r="B17" s="196">
        <v>-1</v>
      </c>
      <c r="C17" s="197" t="s">
        <v>114</v>
      </c>
      <c r="D17" s="195" t="s">
        <v>89</v>
      </c>
      <c r="E17" s="195"/>
      <c r="F17" s="198"/>
      <c r="G17" s="195"/>
      <c r="H17" s="195"/>
      <c r="I17" s="198"/>
      <c r="J17" s="202"/>
      <c r="K17" s="286">
        <v>0</v>
      </c>
      <c r="L17" s="286">
        <v>0</v>
      </c>
      <c r="M17" s="198">
        <v>0</v>
      </c>
      <c r="N17" s="198">
        <v>0</v>
      </c>
      <c r="O17" s="149" t="s">
        <v>258</v>
      </c>
      <c r="P17" s="149" t="s">
        <v>258</v>
      </c>
      <c r="Q17" s="149" t="s">
        <v>258</v>
      </c>
    </row>
    <row r="18" spans="1:62" ht="15" customHeight="1">
      <c r="A18" s="195" t="s">
        <v>115</v>
      </c>
      <c r="B18" s="200"/>
      <c r="C18" s="197" t="s">
        <v>116</v>
      </c>
      <c r="D18" s="195"/>
      <c r="E18" s="201" t="s">
        <v>102</v>
      </c>
      <c r="F18" s="155">
        <v>2000000</v>
      </c>
      <c r="G18" s="195" t="s">
        <v>119</v>
      </c>
      <c r="H18" s="195"/>
      <c r="I18" s="198"/>
      <c r="J18" s="284" t="s">
        <v>286</v>
      </c>
      <c r="K18" s="287">
        <f>MIN($Z$18,$AL$18)</f>
        <v>680633.8136502743</v>
      </c>
      <c r="L18" s="287">
        <f>MIN($AW$18,$BI$18)</f>
        <v>1511234.0718200924</v>
      </c>
      <c r="M18" s="285">
        <v>0</v>
      </c>
      <c r="N18" s="198">
        <v>0</v>
      </c>
      <c r="O18" s="149" t="s">
        <v>258</v>
      </c>
      <c r="P18" s="149" t="s">
        <v>258</v>
      </c>
      <c r="Q18" s="149" t="s">
        <v>258</v>
      </c>
      <c r="R18" s="259">
        <f>IF(Calculator!$B$39&lt;=$F$18,0,VLOOKUP(IF(Calculator!$E$9=TRUE,IF(Calculator!$J$9=TRUE,Calculator!$B$39-'State Details'!$F18,Calculator!$B$39),Calculator!$B$39),StateTaxes,2)+((IF(Calculator!$E$9=TRUE,IF(Calculator!$J$9=TRUE,Calculator!$B$39-'State Details'!$F18,Calculator!$B$39),Calculator!$B$39)-VLOOKUP(IF(Calculator!$E$9=TRUE,IF(Calculator!$J$9=TRUE,Calculator!$B$39-'State Details'!$F18,Calculator!$B$39),Calculator!$B$39),StateTaxes,1))*VLOOKUP(IF(Calculator!$E$9=TRUE,IF(Calculator!$J$9=TRUE,Calculator!$B$39-'State Details'!$F18,Calculator!$B$39),Calculator!$B$39),StateTaxes,3)))</f>
        <v>773200</v>
      </c>
      <c r="S18" s="259">
        <f>IF(Calculator!$B$39&lt;=$F$18,0,VLOOKUP(IF(Calculator!$E$9=TRUE,IF(Calculator!$J$9=TRUE,Calculator!$B$39-'State Details'!$F18-R18,Calculator!$B$39-R18),Calculator!$B$39-R18),StateTaxes,2)+((IF(Calculator!$E$9=TRUE,IF(Calculator!$J$9=TRUE,Calculator!$B$39-'State Details'!$F18-R18,Calculator!$B$39-R18),Calculator!$B$39-R18)-VLOOKUP(IF(Calculator!$E$9=TRUE,IF(Calculator!$J$9=TRUE,Calculator!$B$39-'State Details'!$F18-R18,Calculator!$B$39-R18),Calculator!$B$39-R18),StateTaxes,1))*VLOOKUP(IF(Calculator!$E$9=TRUE,IF(Calculator!$J$9=TRUE,Calculator!$B$39-'State Details'!$F18-R18,Calculator!$B$39-R18),Calculator!$B$39-R18),StateTaxes,3)))</f>
        <v>668044.80000000005</v>
      </c>
      <c r="T18" s="259">
        <f>IF(Calculator!$B$39&lt;=$F$18,0,VLOOKUP(IF(Calculator!$E$9=TRUE,IF(Calculator!$J$9=TRUE,Calculator!$B$39-'State Details'!$F18-S18,Calculator!$B$39-S18),Calculator!$B$39-S18),StateTaxes,2)+((IF(Calculator!$E$9=TRUE,IF(Calculator!$J$9=TRUE,Calculator!$B$39-'State Details'!$F18-S18,Calculator!$B$39-S18),Calculator!$B$39-S18)-VLOOKUP(IF(Calculator!$E$9=TRUE,IF(Calculator!$J$9=TRUE,Calculator!$B$39-'State Details'!$F18-S18,Calculator!$B$39-S18),Calculator!$B$39-S18),StateTaxes,1))*VLOOKUP(IF(Calculator!$E$9=TRUE,IF(Calculator!$J$9=TRUE,Calculator!$B$39-'State Details'!$F18-S18,Calculator!$B$39-S18),Calculator!$B$39-S18),StateTaxes,3)))</f>
        <v>682345.90720000002</v>
      </c>
      <c r="U18" s="259">
        <f>IF(Calculator!$B$39&lt;=$F$18,0,VLOOKUP(IF(Calculator!$E$9=TRUE,IF(Calculator!$J$9=TRUE,Calculator!$B$39-'State Details'!$F18-T18,Calculator!$B$39-T18),Calculator!$B$39-T18),StateTaxes,2)+((IF(Calculator!$E$9=TRUE,IF(Calculator!$J$9=TRUE,Calculator!$B$39-'State Details'!$F18-T18,Calculator!$B$39-T18),Calculator!$B$39-T18)-VLOOKUP(IF(Calculator!$E$9=TRUE,IF(Calculator!$J$9=TRUE,Calculator!$B$39-'State Details'!$F18-T18,Calculator!$B$39-T18),Calculator!$B$39-T18),StateTaxes,1))*VLOOKUP(IF(Calculator!$E$9=TRUE,IF(Calculator!$J$9=TRUE,Calculator!$B$39-'State Details'!$F18-T18,Calculator!$B$39-T18),Calculator!$B$39-T18),StateTaxes,3)))</f>
        <v>680400.95662079996</v>
      </c>
      <c r="V18" s="259">
        <f>IF(Calculator!$B$39&lt;=$F$18,0,VLOOKUP(IF(Calculator!$E$9=TRUE,IF(Calculator!$J$9=TRUE,Calculator!$B$39-'State Details'!$F18-U18,Calculator!$B$39-U18),Calculator!$B$39-U18),StateTaxes,2)+((IF(Calculator!$E$9=TRUE,IF(Calculator!$J$9=TRUE,Calculator!$B$39-'State Details'!$F18-U18,Calculator!$B$39-U18),Calculator!$B$39-U18)-VLOOKUP(IF(Calculator!$E$9=TRUE,IF(Calculator!$J$9=TRUE,Calculator!$B$39-'State Details'!$F18-U18,Calculator!$B$39-U18),Calculator!$B$39-U18),StateTaxes,1))*VLOOKUP(IF(Calculator!$E$9=TRUE,IF(Calculator!$J$9=TRUE,Calculator!$B$39-'State Details'!$F18-U18,Calculator!$B$39-U18),Calculator!$B$39-U18),StateTaxes,3)))</f>
        <v>680665.46989957115</v>
      </c>
      <c r="W18" s="259">
        <f>IF(Calculator!$B$39&lt;=$F$18,0,VLOOKUP(IF(Calculator!$E$9=TRUE,IF(Calculator!$J$9=TRUE,Calculator!$B$39-'State Details'!$F18-V18,Calculator!$B$39-V18),Calculator!$B$39-V18),StateTaxes,2)+((IF(Calculator!$E$9=TRUE,IF(Calculator!$J$9=TRUE,Calculator!$B$39-'State Details'!$F18-V18,Calculator!$B$39-V18),Calculator!$B$39-V18)-VLOOKUP(IF(Calculator!$E$9=TRUE,IF(Calculator!$J$9=TRUE,Calculator!$B$39-'State Details'!$F18-V18,Calculator!$B$39-V18),Calculator!$B$39-V18),StateTaxes,1))*VLOOKUP(IF(Calculator!$E$9=TRUE,IF(Calculator!$J$9=TRUE,Calculator!$B$39-'State Details'!$F18-V18,Calculator!$B$39-V18),Calculator!$B$39-V18),StateTaxes,3)))</f>
        <v>680629.49609365826</v>
      </c>
      <c r="X18" s="259">
        <f>IF(Calculator!$B$39&lt;=$F$18,0,VLOOKUP(IF(Calculator!$E$9=TRUE,IF(Calculator!$J$9=TRUE,Calculator!$B$39-'State Details'!$F18-W18,Calculator!$B$39-W18),Calculator!$B$39-W18),StateTaxes,2)+((IF(Calculator!$E$9=TRUE,IF(Calculator!$J$9=TRUE,Calculator!$B$39-'State Details'!$F18-W18,Calculator!$B$39-W18),Calculator!$B$39-W18)-VLOOKUP(IF(Calculator!$E$9=TRUE,IF(Calculator!$J$9=TRUE,Calculator!$B$39-'State Details'!$F18-W18,Calculator!$B$39-W18),Calculator!$B$39-W18),StateTaxes,1))*VLOOKUP(IF(Calculator!$E$9=TRUE,IF(Calculator!$J$9=TRUE,Calculator!$B$39-'State Details'!$F18-W18,Calculator!$B$39-W18),Calculator!$B$39-W18),StateTaxes,3)))</f>
        <v>680634.3885312624</v>
      </c>
      <c r="Y18" s="259">
        <f>IF(Calculator!$B$39&lt;=$F$18,0,VLOOKUP(IF(Calculator!$E$9=TRUE,IF(Calculator!$J$9=TRUE,Calculator!$B$39-'State Details'!$F18-X18,Calculator!$B$39-X18),Calculator!$B$39-X18),StateTaxes,2)+((IF(Calculator!$E$9=TRUE,IF(Calculator!$J$9=TRUE,Calculator!$B$39-'State Details'!$F18-X18,Calculator!$B$39-X18),Calculator!$B$39-X18)-VLOOKUP(IF(Calculator!$E$9=TRUE,IF(Calculator!$J$9=TRUE,Calculator!$B$39-'State Details'!$F18-X18,Calculator!$B$39-X18),Calculator!$B$39-X18),StateTaxes,1))*VLOOKUP(IF(Calculator!$E$9=TRUE,IF(Calculator!$J$9=TRUE,Calculator!$B$39-'State Details'!$F18-X18,Calculator!$B$39-X18),Calculator!$B$39-X18),StateTaxes,3)))</f>
        <v>680633.72315974836</v>
      </c>
      <c r="Z18" s="259">
        <f>IF(Calculator!$B$39&lt;=$F$18,0,VLOOKUP(IF(Calculator!$E$9=TRUE,IF(Calculator!$J$9=TRUE,Calculator!$B$39-'State Details'!$F18-Y18,Calculator!$B$39-Y18),Calculator!$B$39-Y18),StateTaxes,2)+((IF(Calculator!$E$9=TRUE,IF(Calculator!$J$9=TRUE,Calculator!$B$39-'State Details'!$F18-Y18,Calculator!$B$39-Y18),Calculator!$B$39-Y18)-VLOOKUP(IF(Calculator!$E$9=TRUE,IF(Calculator!$J$9=TRUE,Calculator!$B$39-'State Details'!$F18-Y18,Calculator!$B$39-Y18),Calculator!$B$39-Y18),StateTaxes,1))*VLOOKUP(IF(Calculator!$E$9=TRUE,IF(Calculator!$J$9=TRUE,Calculator!$B$39-'State Details'!$F18-Y18,Calculator!$B$39-Y18),Calculator!$B$39-Y18),StateTaxes,3)))</f>
        <v>680633.8136502743</v>
      </c>
      <c r="AA18" s="283">
        <f>IF((IF(Calculator!$E$9=TRUE,IF(Calculator!$J$9=TRUE,Calculator!$B$39-'State Details'!$F18,Calculator!$B$39),Calculator!$B$39)-$F$18-W18)*Calculator!$E$14&lt;0,0,(IF(Calculator!$E$9=TRUE,IF(Calculator!$J$9=TRUE,Calculator!$B$39-'State Details'!$F18,Calculator!$B$39),Calculator!$B$39)-$F$18-W18)*Calculator!$E$14)</f>
        <v>2393716.7267578538</v>
      </c>
      <c r="AB18" s="283">
        <f>IF((IF(Calculator!$E$9=TRUE,IF(Calculator!$J$9=TRUE,Calculator!$B$39-'State Details'!$F18,Calculator!$B$39),Calculator!$B$39)-$F$18-AA18)*Calculator!$E$14&lt;0,0,(IF(Calculator!$E$9=TRUE,IF(Calculator!$J$9=TRUE,Calculator!$B$39-'State Details'!$F18,Calculator!$B$39),Calculator!$B$39)-$F$18-AA18)*Calculator!$E$14)</f>
        <v>1622827.4729589659</v>
      </c>
      <c r="AC18" s="283">
        <f>IF((IF(Calculator!$E$9=TRUE,IF(Calculator!$J$9=TRUE,Calculator!$B$39-'State Details'!$F18,Calculator!$B$39),Calculator!$B$39)-$F$18-AB18)*Calculator!$E$14&lt;0,0,(IF(Calculator!$E$9=TRUE,IF(Calculator!$J$9=TRUE,Calculator!$B$39-'State Details'!$F18,Calculator!$B$39),Calculator!$B$39)-$F$18-AB18)*Calculator!$E$14)</f>
        <v>1969727.6371684652</v>
      </c>
      <c r="AD18" s="283">
        <f>IF((IF(Calculator!$E$9=TRUE,IF(Calculator!$J$9=TRUE,Calculator!$B$39-'State Details'!$F18,Calculator!$B$39),Calculator!$B$39)-$F$18-AC18)*Calculator!$E$14&lt;0,0,(IF(Calculator!$E$9=TRUE,IF(Calculator!$J$9=TRUE,Calculator!$B$39-'State Details'!$F18,Calculator!$B$39),Calculator!$B$39)-$F$18-AC18)*Calculator!$E$14)</f>
        <v>1813622.5632741908</v>
      </c>
      <c r="AE18" s="283">
        <f>IF((IF(Calculator!$E$9=TRUE,IF(Calculator!$J$9=TRUE,Calculator!$B$39-'State Details'!$F18,Calculator!$B$39),Calculator!$B$39)-$F$18-AD18)*Calculator!$E$14&lt;0,0,(IF(Calculator!$E$9=TRUE,IF(Calculator!$J$9=TRUE,Calculator!$B$39-'State Details'!$F18,Calculator!$B$39),Calculator!$B$39)-$F$18-AD18)*Calculator!$E$14)</f>
        <v>1883869.8465266142</v>
      </c>
      <c r="AF18" s="283">
        <f>IF((IF(Calculator!$E$9=TRUE,IF(Calculator!$J$9=TRUE,Calculator!$B$39-'State Details'!$F18,Calculator!$B$39),Calculator!$B$39)-$F$18-AE18)*Calculator!$E$14&lt;0,0,(IF(Calculator!$E$9=TRUE,IF(Calculator!$J$9=TRUE,Calculator!$B$39-'State Details'!$F18,Calculator!$B$39),Calculator!$B$39)-$F$18-AE18)*Calculator!$E$14)</f>
        <v>1852258.5690630237</v>
      </c>
      <c r="AG18" s="283">
        <f>IF((IF(Calculator!$E$9=TRUE,IF(Calculator!$J$9=TRUE,Calculator!$B$39-'State Details'!$F18,Calculator!$B$39),Calculator!$B$39)-$F$18-AF18)*Calculator!$E$14&lt;0,0,(IF(Calculator!$E$9=TRUE,IF(Calculator!$J$9=TRUE,Calculator!$B$39-'State Details'!$F18,Calculator!$B$39),Calculator!$B$39)-$F$18-AF18)*Calculator!$E$14)</f>
        <v>1866483.6439216393</v>
      </c>
      <c r="AH18" s="283">
        <f>IF((IF(Calculator!$E$9=TRUE,IF(Calculator!$J$9=TRUE,Calculator!$B$39-'State Details'!$F18,Calculator!$B$39),Calculator!$B$39)-$F$18-AG18)*Calculator!$E$14&lt;0,0,(IF(Calculator!$E$9=TRUE,IF(Calculator!$J$9=TRUE,Calculator!$B$39-'State Details'!$F18,Calculator!$B$39),Calculator!$B$39)-$F$18-AG18)*Calculator!$E$14)</f>
        <v>1860082.3602352624</v>
      </c>
      <c r="AI18" s="283">
        <f>IF((IF(Calculator!$E$9=TRUE,IF(Calculator!$J$9=TRUE,Calculator!$B$39-'State Details'!$F18,Calculator!$B$39),Calculator!$B$39)-$F$18-AH18)*Calculator!$E$14&lt;0,0,(IF(Calculator!$E$9=TRUE,IF(Calculator!$J$9=TRUE,Calculator!$B$39-'State Details'!$F18,Calculator!$B$39),Calculator!$B$39)-$F$18-AH18)*Calculator!$E$14)</f>
        <v>1862962.9378941318</v>
      </c>
      <c r="AJ18" s="283">
        <f>IF((IF(Calculator!$E$9=TRUE,IF(Calculator!$J$9=TRUE,Calculator!$B$39-'State Details'!$F18,Calculator!$B$39),Calculator!$B$39)-$F$18-AI18)*Calculator!$E$14&lt;0,0,(IF(Calculator!$E$9=TRUE,IF(Calculator!$J$9=TRUE,Calculator!$B$39-'State Details'!$F18,Calculator!$B$39),Calculator!$B$39)-$F$18-AI18)*Calculator!$E$14)</f>
        <v>1861666.6779476407</v>
      </c>
      <c r="AK18" s="283">
        <f>IF((IF(Calculator!$E$9=TRUE,IF(Calculator!$J$9=TRUE,Calculator!$B$39-'State Details'!$F18,Calculator!$B$39),Calculator!$B$39)-$F$18-AJ18)*Calculator!$E$14&lt;0,0,(IF(Calculator!$E$9=TRUE,IF(Calculator!$J$9=TRUE,Calculator!$B$39-'State Details'!$F18,Calculator!$B$39),Calculator!$B$39)-$F$18-AJ18)*Calculator!$E$14)</f>
        <v>1862249.9949235618</v>
      </c>
      <c r="AL18" s="283">
        <f>IF((IF(Calculator!$E$9=TRUE,IF(Calculator!$J$9=TRUE,Calculator!$B$39-'State Details'!$F18,Calculator!$B$39),Calculator!$B$39)-$F$18-AK18)*Calculator!$E$14&lt;0,0,(IF(Calculator!$E$9=TRUE,IF(Calculator!$J$9=TRUE,Calculator!$B$39-'State Details'!$F18,Calculator!$B$39),Calculator!$B$39)-$F$18-AK18)*Calculator!$E$14)</f>
        <v>1861987.5022843971</v>
      </c>
      <c r="AM18" s="281">
        <f>MIN($Z$18,$AL$18)</f>
        <v>680633.8136502743</v>
      </c>
      <c r="AN18" s="280"/>
      <c r="AO18" s="259">
        <f>IF(Calculator!$G$39&lt;=$F$18,0,VLOOKUP(IF(Calculator!$E$9=TRUE,IF(Calculator!$J$9=TRUE,Calculator!$G$39-'State Details'!$F18,Calculator!$G$39),Calculator!$G$39),StateTaxes,2)+((IF(Calculator!$E$9=TRUE,IF(Calculator!$J$9=TRUE,Calculator!$G$39-'State Details'!$F18,Calculator!$G$39),Calculator!$G$39)-VLOOKUP(IF(Calculator!$E$9=TRUE,IF(Calculator!$J$9=TRUE,Calculator!$G$39-'State Details'!$F18,Calculator!$G$39),Calculator!$G$39),StateTaxes,1))*VLOOKUP(IF(Calculator!$E$9=TRUE,IF(Calculator!$J$9=TRUE,Calculator!$G$39-'State Details'!$F18,Calculator!$G$39),Calculator!$G$39),StateTaxes,3)))</f>
        <v>1753031.4028439065</v>
      </c>
      <c r="AP18" s="259">
        <f>IF(Calculator!$G$39&lt;=$F$18,0,VLOOKUP(IF(Calculator!$E$9=TRUE,IF(Calculator!$J$9=TRUE,Calculator!$G$39-'State Details'!$F18-AO18,Calculator!$G$39-AO18),Calculator!$G$39-AO18),StateTaxes,2)+((IF(Calculator!$E$9=TRUE,IF(Calculator!$J$9=TRUE,Calculator!$G$39-'State Details'!$F18-AO18,Calculator!$G$39-AO18),Calculator!$G$39-AO18)-VLOOKUP(IF(Calculator!$E$9=TRUE,IF(Calculator!$J$9=TRUE,Calculator!$G$39-'State Details'!$F18-AO18,Calculator!$G$39-AO18),Calculator!$G$39-AO18),StateTaxes,1))*VLOOKUP(IF(Calculator!$E$9=TRUE,IF(Calculator!$J$9=TRUE,Calculator!$G$39-'State Details'!$F18-AO18,Calculator!$G$39-AO18),Calculator!$G$39-AO18),StateTaxes,3)))</f>
        <v>1472546.3783888817</v>
      </c>
      <c r="AQ18" s="259">
        <f>IF(Calculator!$G$39&lt;=$F$18,0,VLOOKUP(IF(Calculator!$E$9=TRUE,IF(Calculator!$J$9=TRUE,Calculator!$G$39-'State Details'!$F18-AP18,Calculator!$G$39-AP18),Calculator!$G$39-AP18),StateTaxes,2)+((IF(Calculator!$E$9=TRUE,IF(Calculator!$J$9=TRUE,Calculator!$G$39-'State Details'!$F18-AP18,Calculator!$G$39-AP18),Calculator!$G$39-AP18)-VLOOKUP(IF(Calculator!$E$9=TRUE,IF(Calculator!$J$9=TRUE,Calculator!$G$39-'State Details'!$F18-AP18,Calculator!$G$39-AP18),Calculator!$G$39-AP18),StateTaxes,1))*VLOOKUP(IF(Calculator!$E$9=TRUE,IF(Calculator!$J$9=TRUE,Calculator!$G$39-'State Details'!$F18-AP18,Calculator!$G$39-AP18),Calculator!$G$39-AP18),StateTaxes,3)))</f>
        <v>1517423.9823016855</v>
      </c>
      <c r="AR18" s="259">
        <f>IF(Calculator!$G$39&lt;=$F$18,0,VLOOKUP(IF(Calculator!$E$9=TRUE,IF(Calculator!$J$9=TRUE,Calculator!$G$39-'State Details'!$F18-AQ18,Calculator!$G$39-AQ18),Calculator!$G$39-AQ18),StateTaxes,2)+((IF(Calculator!$E$9=TRUE,IF(Calculator!$J$9=TRUE,Calculator!$G$39-'State Details'!$F18-AQ18,Calculator!$G$39-AQ18),Calculator!$G$39-AQ18)-VLOOKUP(IF(Calculator!$E$9=TRUE,IF(Calculator!$J$9=TRUE,Calculator!$G$39-'State Details'!$F18-AQ18,Calculator!$G$39-AQ18),Calculator!$G$39-AQ18),StateTaxes,1))*VLOOKUP(IF(Calculator!$E$9=TRUE,IF(Calculator!$J$9=TRUE,Calculator!$G$39-'State Details'!$F18-AQ18,Calculator!$G$39-AQ18),Calculator!$G$39-AQ18),StateTaxes,3)))</f>
        <v>1510243.5656756368</v>
      </c>
      <c r="AS18" s="259">
        <f>IF(Calculator!$G$39&lt;=$F$18,0,VLOOKUP(IF(Calculator!$E$9=TRUE,IF(Calculator!$J$9=TRUE,Calculator!$G$39-'State Details'!$F18-AR18,Calculator!$G$39-AR18),Calculator!$G$39-AR18),StateTaxes,2)+((IF(Calculator!$E$9=TRUE,IF(Calculator!$J$9=TRUE,Calculator!$G$39-'State Details'!$F18-AR18,Calculator!$G$39-AR18),Calculator!$G$39-AR18)-VLOOKUP(IF(Calculator!$E$9=TRUE,IF(Calculator!$J$9=TRUE,Calculator!$G$39-'State Details'!$F18-AR18,Calculator!$G$39-AR18),Calculator!$G$39-AR18),StateTaxes,1))*VLOOKUP(IF(Calculator!$E$9=TRUE,IF(Calculator!$J$9=TRUE,Calculator!$G$39-'State Details'!$F18-AR18,Calculator!$G$39-AR18),Calculator!$G$39-AR18),StateTaxes,3)))</f>
        <v>1511392.4323358047</v>
      </c>
      <c r="AT18" s="259">
        <f>IF(Calculator!$G$39&lt;=$F$18,0,VLOOKUP(IF(Calculator!$E$9=TRUE,IF(Calculator!$J$9=TRUE,Calculator!$G$39-'State Details'!$F18-AS18,Calculator!$G$39-AS18),Calculator!$G$39-AS18),StateTaxes,2)+((IF(Calculator!$E$9=TRUE,IF(Calculator!$J$9=TRUE,Calculator!$G$39-'State Details'!$F18-AS18,Calculator!$G$39-AS18),Calculator!$G$39-AS18)-VLOOKUP(IF(Calculator!$E$9=TRUE,IF(Calculator!$J$9=TRUE,Calculator!$G$39-'State Details'!$F18-AS18,Calculator!$G$39-AS18),Calculator!$G$39-AS18),StateTaxes,1))*VLOOKUP(IF(Calculator!$E$9=TRUE,IF(Calculator!$J$9=TRUE,Calculator!$G$39-'State Details'!$F18-AS18,Calculator!$G$39-AS18),Calculator!$G$39-AS18),StateTaxes,3)))</f>
        <v>1511208.6136701778</v>
      </c>
      <c r="AU18" s="259">
        <f>IF(Calculator!$G$39&lt;=$F$18,0,VLOOKUP(IF(Calculator!$E$9=TRUE,IF(Calculator!$J$9=TRUE,Calculator!$G$39-'State Details'!$F18-AT18,Calculator!$G$39-AT18),Calculator!$G$39-AT18),StateTaxes,2)+((IF(Calculator!$E$9=TRUE,IF(Calculator!$J$9=TRUE,Calculator!$G$39-'State Details'!$F18-AT18,Calculator!$G$39-AT18),Calculator!$G$39-AT18)-VLOOKUP(IF(Calculator!$E$9=TRUE,IF(Calculator!$J$9=TRUE,Calculator!$G$39-'State Details'!$F18-AT18,Calculator!$G$39-AT18),Calculator!$G$39-AT18),StateTaxes,1))*VLOOKUP(IF(Calculator!$E$9=TRUE,IF(Calculator!$J$9=TRUE,Calculator!$G$39-'State Details'!$F18-AT18,Calculator!$G$39-AT18),Calculator!$G$39-AT18),StateTaxes,3)))</f>
        <v>1511238.0246566781</v>
      </c>
      <c r="AV18" s="259">
        <f>IF(Calculator!$G$39&lt;=$F$18,0,VLOOKUP(IF(Calculator!$E$9=TRUE,IF(Calculator!$J$9=TRUE,Calculator!$G$39-'State Details'!$F18-AU18,Calculator!$G$39-AU18),Calculator!$G$39-AU18),StateTaxes,2)+((IF(Calculator!$E$9=TRUE,IF(Calculator!$J$9=TRUE,Calculator!$G$39-'State Details'!$F18-AU18,Calculator!$G$39-AU18),Calculator!$G$39-AU18)-VLOOKUP(IF(Calculator!$E$9=TRUE,IF(Calculator!$J$9=TRUE,Calculator!$G$39-'State Details'!$F18-AU18,Calculator!$G$39-AU18),Calculator!$G$39-AU18),StateTaxes,1))*VLOOKUP(IF(Calculator!$E$9=TRUE,IF(Calculator!$J$9=TRUE,Calculator!$G$39-'State Details'!$F18-AU18,Calculator!$G$39-AU18),Calculator!$G$39-AU18),StateTaxes,3)))</f>
        <v>1511233.3188988382</v>
      </c>
      <c r="AW18" s="259">
        <f>IF(Calculator!$G$39&lt;=$F$18,0,VLOOKUP(IF(Calculator!$E$9=TRUE,IF(Calculator!$J$9=TRUE,Calculator!$G$39-'State Details'!$F18-AV18,Calculator!$G$39-AV18),Calculator!$G$39-AV18),StateTaxes,2)+((IF(Calculator!$E$9=TRUE,IF(Calculator!$J$9=TRUE,Calculator!$G$39-'State Details'!$F18-AV18,Calculator!$G$39-AV18),Calculator!$G$39-AV18)-VLOOKUP(IF(Calculator!$E$9=TRUE,IF(Calculator!$J$9=TRUE,Calculator!$G$39-'State Details'!$F18-AV18,Calculator!$G$39-AV18),Calculator!$G$39-AV18),StateTaxes,1))*VLOOKUP(IF(Calculator!$E$9=TRUE,IF(Calculator!$J$9=TRUE,Calculator!$G$39-'State Details'!$F18-AV18,Calculator!$G$39-AV18),Calculator!$G$39-AV18),StateTaxes,3)))</f>
        <v>1511234.0718200924</v>
      </c>
      <c r="AX18" s="283">
        <f>IF((IF(Calculator!$E$9=TRUE,IF(Calculator!$J$9=TRUE,Calculator!$G$39-'State Details'!$F18,Calculator!$G$39),Calculator!$B$39)-$F$18-AT18)*Calculator!$E$14&lt;0,0,(IF(Calculator!$E$9=TRUE,IF(Calculator!$J$9=TRUE,Calculator!$G$39-'State Details'!$F18,Calculator!$G$39),Calculator!$G$39)-$F$18-AT18)*Calculator!$E$14)</f>
        <v>4849981.9443469075</v>
      </c>
      <c r="AY18" s="283">
        <f>IF((IF(Calculator!$E$9=TRUE,IF(Calculator!$J$9=TRUE,Calculator!$G$39-'State Details'!$F18,Calculator!$G$39),Calculator!$B$39)-$F$18-AX18)*Calculator!$E$14&lt;0,0,(IF(Calculator!$E$9=TRUE,IF(Calculator!$J$9=TRUE,Calculator!$G$39-'State Details'!$F18,Calculator!$G$39),Calculator!$G$39)-$F$18-AX18)*Calculator!$E$14)</f>
        <v>3347533.9455423788</v>
      </c>
      <c r="AZ18" s="283">
        <f>IF((IF(Calculator!$E$9=TRUE,IF(Calculator!$J$9=TRUE,Calculator!$G$39-'State Details'!$F18,Calculator!$G$39),Calculator!$B$39)-$F$18-AY18)*Calculator!$E$14&lt;0,0,(IF(Calculator!$E$9=TRUE,IF(Calculator!$J$9=TRUE,Calculator!$G$39-'State Details'!$F18,Calculator!$G$39),Calculator!$G$39)-$F$18-AY18)*Calculator!$E$14)</f>
        <v>4023635.5450044172</v>
      </c>
      <c r="BA18" s="283">
        <f>IF((IF(Calculator!$E$9=TRUE,IF(Calculator!$J$9=TRUE,Calculator!$G$39-'State Details'!$F18,Calculator!$G$39),Calculator!$B$39)-$F$18-AZ18)*Calculator!$E$14&lt;0,0,(IF(Calculator!$E$9=TRUE,IF(Calculator!$J$9=TRUE,Calculator!$G$39-'State Details'!$F18,Calculator!$G$39),Calculator!$G$39)-$F$18-AZ18)*Calculator!$E$14)</f>
        <v>3719389.8252464994</v>
      </c>
      <c r="BB18" s="283">
        <f>IF((IF(Calculator!$E$9=TRUE,IF(Calculator!$J$9=TRUE,Calculator!$G$39-'State Details'!$F18,Calculator!$G$39),Calculator!$B$39)-$F$18-BA18)*Calculator!$E$14&lt;0,0,(IF(Calculator!$E$9=TRUE,IF(Calculator!$J$9=TRUE,Calculator!$G$39-'State Details'!$F18,Calculator!$G$39),Calculator!$G$39)-$F$18-BA18)*Calculator!$E$14)</f>
        <v>3856300.3991375626</v>
      </c>
      <c r="BC18" s="283">
        <f>IF((IF(Calculator!$E$9=TRUE,IF(Calculator!$J$9=TRUE,Calculator!$G$39-'State Details'!$F18,Calculator!$G$39),Calculator!$B$39)-$F$18-BB18)*Calculator!$E$14&lt;0,0,(IF(Calculator!$E$9=TRUE,IF(Calculator!$J$9=TRUE,Calculator!$G$39-'State Details'!$F18,Calculator!$G$39),Calculator!$G$39)-$F$18-BB18)*Calculator!$E$14)</f>
        <v>3794690.6408865843</v>
      </c>
      <c r="BD18" s="283">
        <f>IF((IF(Calculator!$E$9=TRUE,IF(Calculator!$J$9=TRUE,Calculator!$G$39-'State Details'!$F18,Calculator!$G$39),Calculator!$B$39)-$F$18-BC18)*Calculator!$E$14&lt;0,0,(IF(Calculator!$E$9=TRUE,IF(Calculator!$J$9=TRUE,Calculator!$G$39-'State Details'!$F18,Calculator!$G$39),Calculator!$G$39)-$F$18-BC18)*Calculator!$E$14)</f>
        <v>3822415.0320995245</v>
      </c>
      <c r="BE18" s="283">
        <f>IF((IF(Calculator!$E$9=TRUE,IF(Calculator!$J$9=TRUE,Calculator!$G$39-'State Details'!$F18,Calculator!$G$39),Calculator!$B$39)-$F$18-BD18)*Calculator!$E$14&lt;0,0,(IF(Calculator!$E$9=TRUE,IF(Calculator!$J$9=TRUE,Calculator!$G$39-'State Details'!$F18,Calculator!$G$39),Calculator!$G$39)-$F$18-BD18)*Calculator!$E$14)</f>
        <v>3809939.0560537013</v>
      </c>
      <c r="BF18" s="283">
        <f>IF((IF(Calculator!$E$9=TRUE,IF(Calculator!$J$9=TRUE,Calculator!$G$39-'State Details'!$F18,Calculator!$G$39),Calculator!$B$39)-$F$18-BE18)*Calculator!$E$14&lt;0,0,(IF(Calculator!$E$9=TRUE,IF(Calculator!$J$9=TRUE,Calculator!$G$39-'State Details'!$F18,Calculator!$G$39),Calculator!$G$39)-$F$18-BE18)*Calculator!$E$14)</f>
        <v>3815553.2452743216</v>
      </c>
      <c r="BG18" s="283">
        <f>IF((IF(Calculator!$E$9=TRUE,IF(Calculator!$J$9=TRUE,Calculator!$G$39-'State Details'!$F18,Calculator!$G$39),Calculator!$B$39)-$F$18-BF18)*Calculator!$E$14&lt;0,0,(IF(Calculator!$E$9=TRUE,IF(Calculator!$J$9=TRUE,Calculator!$G$39-'State Details'!$F18,Calculator!$G$39),Calculator!$G$39)-$F$18-BF18)*Calculator!$E$14)</f>
        <v>3813026.8601250425</v>
      </c>
      <c r="BH18" s="283">
        <f>IF((IF(Calculator!$E$9=TRUE,IF(Calculator!$J$9=TRUE,Calculator!$G$39-'State Details'!$F18,Calculator!$G$39),Calculator!$B$39)-$F$18-BG18)*Calculator!$E$14&lt;0,0,(IF(Calculator!$E$9=TRUE,IF(Calculator!$J$9=TRUE,Calculator!$G$39-'State Details'!$F18,Calculator!$G$39),Calculator!$G$39)-$F$18-BG18)*Calculator!$E$14)</f>
        <v>3814163.733442218</v>
      </c>
      <c r="BI18" s="283">
        <f>IF((IF(Calculator!$E$9=TRUE,IF(Calculator!$J$9=TRUE,Calculator!$G$39-'State Details'!$F18,Calculator!$G$39),Calculator!$B$39)-$F$18-BH18)*Calculator!$E$14&lt;0,0,(IF(Calculator!$E$9=TRUE,IF(Calculator!$J$9=TRUE,Calculator!$G$39-'State Details'!$F18,Calculator!$G$39),Calculator!$G$39)-$F$18-BH18)*Calculator!$E$14)</f>
        <v>3813652.140449489</v>
      </c>
      <c r="BJ18" s="281">
        <f>MIN($AW$18,$BI$18)</f>
        <v>1511234.0718200924</v>
      </c>
    </row>
    <row r="19" spans="1:62" ht="15" customHeight="1">
      <c r="A19" s="195" t="s">
        <v>117</v>
      </c>
      <c r="B19" s="196">
        <v>-1</v>
      </c>
      <c r="C19" s="197" t="s">
        <v>118</v>
      </c>
      <c r="D19" s="195" t="s">
        <v>89</v>
      </c>
      <c r="E19" s="195"/>
      <c r="F19" s="198"/>
      <c r="G19" s="195" t="s">
        <v>119</v>
      </c>
      <c r="H19" s="201" t="s">
        <v>102</v>
      </c>
      <c r="I19" s="203">
        <f>IF(Calculator!$H$7=1,100000,IF(Calculator!$H$7=2,500,100))</f>
        <v>100000</v>
      </c>
      <c r="J19" s="202" t="s">
        <v>296</v>
      </c>
      <c r="K19" s="208">
        <v>0</v>
      </c>
      <c r="L19" s="208">
        <v>0</v>
      </c>
      <c r="M19" s="259">
        <f>IF(Calculator!$B$39&lt;=$I19,0,IF(Calculator!$H$7=1,VLOOKUP(Calculator!$B$39+Calculator!$J$8-'State Details'!$I$19,IN,3)+(((Calculator!$B$39+Calculator!$J$8-'State Details'!$I$19)-VLOOKUP(Calculator!$B$39+Calculator!$J$8-'State Details'!$I$19,IN,1))*VLOOKUP(Calculator!$B$39+Calculator!$J$8-'State Details'!$I$19,IN,4)),IF(Calculator!$H$7=2,VLOOKUP(Calculator!$B$39+Calculator!$J$8-'State Details'!$I$19,IN,5)+(((Calculator!$B$39+Calculator!$J$8-'State Details'!$I$19)-VLOOKUP(Calculator!$B$39+Calculator!$J$8-'State Details'!$I$19,IN,1))*VLOOKUP(Calculator!$B$39+Calculator!$J$8-'State Details'!$I$19,IN,6)),VLOOKUP(Calculator!$B$39+Calculator!$J$8-'State Details'!$I$19,IN,7)+(((Calculator!$B$39+Calculator!$J$8-'State Details'!$I$19)-VLOOKUP(Calculator!$B$39+Calculator!$J$8-'State Details'!$I$19,IN,1))*VLOOKUP(Calculator!$B$39+Calculator!$J$8-'State Details'!$I$19,IN,8)))))</f>
        <v>932250</v>
      </c>
      <c r="N19" s="259">
        <f>IF(Calculator!$B$39&lt;=$I19,0,IF(Calculator!$H$7=1,VLOOKUP(Calculator!$G$39+Calculator!$J$8-'State Details'!$I$19,IN,3)+(((Calculator!$G$39+Calculator!$J$8-'State Details'!$I$19)-VLOOKUP(Calculator!$G$39+Calculator!$J$8-'State Details'!$I$19,IN,1))*VLOOKUP(Calculator!$G$39+Calculator!$J$8-'State Details'!$I$19,IN,4)),IF(Calculator!$H$7=2,VLOOKUP(Calculator!$G$39+Calculator!$J$8-'State Details'!$I$19,IN,5)+(((Calculator!$G$39+Calculator!$J$8-'State Details'!$I$19)-VLOOKUP(Calculator!$G$39+Calculator!$J$8-'State Details'!$I$19,IN,1))*VLOOKUP(Calculator!$G$39+Calculator!$J$8-'State Details'!$I$19,IN,6)),VLOOKUP(Calculator!$G$39+Calculator!$J$8-'State Details'!$I$19,IN,7)+(((Calculator!$G$39+Calculator!$J$8-'State Details'!$I$19)-VLOOKUP(Calculator!$G$39+Calculator!$J$8-'State Details'!$I$19,IN,1))*VLOOKUP(Calculator!$G$39+Calculator!$J$8-'State Details'!$I$19,IN,8)))))</f>
        <v>1561144.6267774417</v>
      </c>
      <c r="O19" s="154" t="s">
        <v>325</v>
      </c>
      <c r="P19" s="154" t="s">
        <v>262</v>
      </c>
      <c r="Q19" s="154" t="s">
        <v>202</v>
      </c>
    </row>
    <row r="20" spans="1:62" ht="15" customHeight="1">
      <c r="A20" s="195" t="s">
        <v>120</v>
      </c>
      <c r="B20" s="196">
        <v>-1</v>
      </c>
      <c r="C20" s="197" t="s">
        <v>121</v>
      </c>
      <c r="D20" s="195" t="s">
        <v>89</v>
      </c>
      <c r="E20" s="195"/>
      <c r="F20" s="198"/>
      <c r="G20" s="195" t="s">
        <v>119</v>
      </c>
      <c r="H20" s="201" t="s">
        <v>102</v>
      </c>
      <c r="I20" s="203">
        <v>0</v>
      </c>
      <c r="J20" s="202" t="s">
        <v>296</v>
      </c>
      <c r="K20" s="198">
        <v>0</v>
      </c>
      <c r="L20" s="198">
        <v>0</v>
      </c>
      <c r="M20" s="259">
        <f>IF(Calculator!$H$7=1,VLOOKUP(Calculator!$B$39+Calculator!$J$8-'State Details'!$I20,IA,3)+(((Calculator!$B$39+Calculator!$J$8-'State Details'!$I20)-VLOOKUP(Calculator!$B$39+Calculator!$J$8-'State Details'!$I20,IA,1))*VLOOKUP(Calculator!$B$39+Calculator!$J$8-'State Details'!$I20,IA,4)),IF(Calculator!$H$7=2,VLOOKUP(Calculator!$B$39+Calculator!$J$8-'State Details'!$I20,IA,5)+(((Calculator!$B$39+Calculator!$J$8-'State Details'!$I20)-VLOOKUP(Calculator!$B$39+Calculator!$J$8-'State Details'!$I20,IA,1))*VLOOKUP(Calculator!$B$39+Calculator!$J$8-'State Details'!$I20,IA,6)),VLOOKUP(Calculator!$B$39+Calculator!$J$8-'State Details'!$I20,IA,7)+(((Calculator!$B$39+Calculator!$J$8-'State Details'!$I20)-VLOOKUP(Calculator!$B$39+Calculator!$J$8-'State Details'!$I20,IA,1))*VLOOKUP(Calculator!$B$39+Calculator!$J$8-'State Details'!$I20,IA,8))))</f>
        <v>0</v>
      </c>
      <c r="N20" s="259">
        <f>IF(Calculator!$H$7=1,VLOOKUP(Calculator!$G$39+Calculator!$J$8-'State Details'!$I20,IA,3)+(((Calculator!$G$39+Calculator!$J$8-'State Details'!$I20)-VLOOKUP(Calculator!$G$39+Calculator!$J$8-'State Details'!$I20,IA,1))*VLOOKUP(Calculator!$G$39+Calculator!$J$8-'State Details'!$I20,IA,4)),IF(Calculator!$H$7=2,VLOOKUP(Calculator!$G$39+Calculator!$J$8-'State Details'!$I20,IA,5)+(((Calculator!$G$39+Calculator!$J$8-'State Details'!$I20)-VLOOKUP(Calculator!$G$39+Calculator!$J$8-'State Details'!$I20,IA,1))*VLOOKUP(Calculator!$G$39+Calculator!$J$8-'State Details'!$I20,IA,6)),VLOOKUP(Calculator!$G$39+Calculator!$J$8-'State Details'!$I20,IA,7)+(((Calculator!$G$39+Calculator!$J$8-'State Details'!$I20)-VLOOKUP(Calculator!$G$39+Calculator!$J$8-'State Details'!$I20,IA,1))*VLOOKUP(Calculator!$G$39+Calculator!$J$8-'State Details'!$I20,IA,8))))</f>
        <v>0</v>
      </c>
      <c r="O20" s="154" t="s">
        <v>264</v>
      </c>
      <c r="P20" s="154" t="s">
        <v>262</v>
      </c>
      <c r="Q20" s="154" t="s">
        <v>202</v>
      </c>
    </row>
    <row r="21" spans="1:62" ht="15" customHeight="1">
      <c r="A21" s="195" t="s">
        <v>122</v>
      </c>
      <c r="B21" s="196">
        <v>-1</v>
      </c>
      <c r="C21" s="197" t="s">
        <v>123</v>
      </c>
      <c r="D21" s="195" t="s">
        <v>231</v>
      </c>
      <c r="E21" s="195"/>
      <c r="F21" s="198"/>
      <c r="G21" s="195"/>
      <c r="H21" s="195"/>
      <c r="I21" s="203"/>
      <c r="J21" s="202"/>
      <c r="K21" s="198">
        <v>0</v>
      </c>
      <c r="L21" s="198">
        <v>0</v>
      </c>
      <c r="M21" s="198">
        <v>0</v>
      </c>
      <c r="N21" s="198">
        <v>0</v>
      </c>
      <c r="O21" s="149" t="s">
        <v>258</v>
      </c>
      <c r="P21" s="149" t="s">
        <v>258</v>
      </c>
      <c r="Q21" s="149" t="s">
        <v>258</v>
      </c>
    </row>
    <row r="22" spans="1:62" ht="15" customHeight="1">
      <c r="A22" s="195" t="s">
        <v>124</v>
      </c>
      <c r="B22" s="196">
        <v>-1</v>
      </c>
      <c r="C22" s="197" t="s">
        <v>125</v>
      </c>
      <c r="D22" s="195" t="s">
        <v>89</v>
      </c>
      <c r="E22" s="195"/>
      <c r="F22" s="198"/>
      <c r="G22" s="195"/>
      <c r="H22" s="201" t="s">
        <v>102</v>
      </c>
      <c r="I22" s="203">
        <f>IF(Calculator!$H$7=1,0,IF(Calculator!$H$7=2,1000,500))</f>
        <v>0</v>
      </c>
      <c r="J22" s="202" t="s">
        <v>296</v>
      </c>
      <c r="K22" s="198">
        <v>0</v>
      </c>
      <c r="L22" s="198">
        <v>0</v>
      </c>
      <c r="M22" s="259">
        <f>IF(Calculator!$H$7=1,VLOOKUP(Calculator!$B$39+Calculator!$J$8-'State Details'!$I22,KY,3)+(((Calculator!$B$39+Calculator!$J$8-'State Details'!$I22)-VLOOKUP(Calculator!$B$39+Calculator!$J$8-'State Details'!$I22,KY,1))*VLOOKUP(Calculator!$B$39+Calculator!$J$8-'State Details'!$I22,KY,4)),IF(Calculator!$H$7=2,VLOOKUP(Calculator!$B$39+Calculator!$J$8-'State Details'!$I22,KY,5)+(((Calculator!$B$39+Calculator!$J$8-'State Details'!$I22)-VLOOKUP(Calculator!$B$39+Calculator!$J$8-'State Details'!$I22,KY,1))*VLOOKUP(Calculator!$B$39+Calculator!$J$8-'State Details'!$I22,KY,6)),VLOOKUP(Calculator!$B$39+Calculator!$J$8-'State Details'!$I22,KY,7)+(((Calculator!$B$39+Calculator!$J$8-'State Details'!$I22)-VLOOKUP(Calculator!$B$39+Calculator!$J$8-'State Details'!$I22,KY,1))*VLOOKUP(Calculator!$B$39+Calculator!$J$8-'State Details'!$I22,KY,8))))</f>
        <v>0</v>
      </c>
      <c r="N22" s="259">
        <f>IF(Calculator!$H$7=1,VLOOKUP(Calculator!$G$39+Calculator!$J$8-'State Details'!$I22,KY,3)+(((Calculator!$G$39+Calculator!$J$8-'State Details'!$I22)-VLOOKUP(Calculator!$G$39+Calculator!$J$8-'State Details'!$I22,KY,1))*VLOOKUP(Calculator!$G$39+Calculator!$J$8-'State Details'!$I22,KY,4)),IF(Calculator!$H$7=2,VLOOKUP(Calculator!$G$39+Calculator!$J$8-'State Details'!$I22,KY,5)+(((Calculator!$G$39+Calculator!$J$8-'State Details'!$I22)-VLOOKUP(Calculator!$G$39+Calculator!$J$8-'State Details'!$I22,KY,1))*VLOOKUP(Calculator!$G$39+Calculator!$J$8-'State Details'!$I22,KY,6)),VLOOKUP(Calculator!$G$39+Calculator!$J$8-'State Details'!$I22,KY,7)+(((Calculator!$G$39+Calculator!$J$8-'State Details'!$I22)-VLOOKUP(Calculator!$G$39+Calculator!$J$8-'State Details'!$I22,KY,1))*VLOOKUP(Calculator!$G$39+Calculator!$J$8-'State Details'!$I22,KY,8))))</f>
        <v>0</v>
      </c>
    </row>
    <row r="23" spans="1:62" ht="15" customHeight="1">
      <c r="A23" s="195" t="s">
        <v>126</v>
      </c>
      <c r="B23" s="196">
        <v>-1</v>
      </c>
      <c r="C23" s="197" t="s">
        <v>127</v>
      </c>
      <c r="D23" s="195" t="s">
        <v>89</v>
      </c>
      <c r="E23" s="195"/>
      <c r="F23" s="198"/>
      <c r="G23" s="195"/>
      <c r="H23" s="195"/>
      <c r="I23" s="203"/>
      <c r="J23" s="202"/>
      <c r="K23" s="198">
        <v>0</v>
      </c>
      <c r="L23" s="198">
        <v>0</v>
      </c>
      <c r="M23" s="198">
        <v>0</v>
      </c>
      <c r="N23" s="198">
        <v>0</v>
      </c>
      <c r="O23" s="149" t="s">
        <v>258</v>
      </c>
      <c r="P23" s="149" t="s">
        <v>258</v>
      </c>
      <c r="Q23" s="149" t="s">
        <v>258</v>
      </c>
    </row>
    <row r="24" spans="1:62" ht="15" customHeight="1">
      <c r="A24" s="195" t="s">
        <v>128</v>
      </c>
      <c r="B24" s="196">
        <v>-2</v>
      </c>
      <c r="C24" s="197" t="s">
        <v>129</v>
      </c>
      <c r="D24" s="195"/>
      <c r="E24" s="201" t="s">
        <v>102</v>
      </c>
      <c r="F24" s="155">
        <v>1000000</v>
      </c>
      <c r="G24" s="195" t="s">
        <v>119</v>
      </c>
      <c r="H24" s="195"/>
      <c r="I24" s="203"/>
      <c r="J24" s="202" t="s">
        <v>295</v>
      </c>
      <c r="K24" s="259">
        <f>IF(Calculator!$B$39&lt;=$F24,0,VLOOKUP(IF(Calculator!$E$9=TRUE,IF(Calculator!$J$9=TRUE,Calculator!$B$39-'State Details'!$F24,Calculator!$B$39),Calculator!$B$39),StateTaxes,2)+((IF(Calculator!$E$9=TRUE,IF(Calculator!$J$9=TRUE,Calculator!$B$39-'State Details'!$F24,Calculator!$B$39),Calculator!$B$39)-VLOOKUP(IF(Calculator!$E$9=TRUE,IF(Calculator!$J$9=TRUE,Calculator!$B$39-'State Details'!$F24,Calculator!$B$39),Calculator!$B$39),StateTaxes,1))*VLOOKUP(IF(Calculator!$E$9=TRUE,IF(Calculator!$J$9=TRUE,Calculator!$B$39-'State Details'!$F24,Calculator!$B$39),Calculator!$B$39),StateTaxes,3)))</f>
        <v>916400</v>
      </c>
      <c r="L24" s="259">
        <f>IF(Calculator!$G$39&lt;=$F24,0,VLOOKUP(IF(Calculator!$E$9=TRUE,IF(Calculator!$J$9=TRUE,Calculator!$G$39-'State Details'!$F24,Calculator!$G$39),Calculator!$G$39),StateTaxes,2)+((IF(Calculator!$E$9=TRUE,IF(Calculator!$J$9=TRUE,Calculator!$G$39-'State Details'!$F24,Calculator!$G$39),Calculator!$G$39)-VLOOKUP(IF(Calculator!$E$9=TRUE,IF(Calculator!$J$9=TRUE,Calculator!$G$39-'State Details'!$F24,Calculator!$G$39),Calculator!$G$39),StateTaxes,1))*VLOOKUP(IF(Calculator!$E$9=TRUE,IF(Calculator!$J$9=TRUE,Calculator!$G$39-'State Details'!$F24,Calculator!$G$39),Calculator!$G$39),StateTaxes,3)))</f>
        <v>1913031.4028439065</v>
      </c>
      <c r="M24" s="198">
        <v>0</v>
      </c>
      <c r="N24" s="198">
        <v>0</v>
      </c>
      <c r="O24" s="149" t="s">
        <v>258</v>
      </c>
      <c r="P24" s="149" t="s">
        <v>258</v>
      </c>
      <c r="Q24" s="149" t="s">
        <v>258</v>
      </c>
    </row>
    <row r="25" spans="1:62" ht="15" customHeight="1">
      <c r="A25" s="195" t="s">
        <v>130</v>
      </c>
      <c r="B25" s="196">
        <v>-4</v>
      </c>
      <c r="C25" s="197" t="s">
        <v>131</v>
      </c>
      <c r="D25" s="195"/>
      <c r="E25" s="201" t="s">
        <v>102</v>
      </c>
      <c r="F25" s="155">
        <v>1000000</v>
      </c>
      <c r="G25" s="195" t="s">
        <v>119</v>
      </c>
      <c r="H25" s="201" t="s">
        <v>102</v>
      </c>
      <c r="I25" s="203">
        <v>0</v>
      </c>
      <c r="J25" s="202" t="s">
        <v>260</v>
      </c>
      <c r="K25" s="259">
        <f>IF(MIN((IF(Calculator!$E$9=TRUE,IF(Calculator!$J$9=TRUE,Calculator!$B$39-$F25,Calculator!$B$39),Calculator!$B$39)-$F$25)*0.16,R25)-M25&lt;0,0,MIN((IF(Calculator!$E$9=TRUE,IF(Calculator!$J$9=TRUE,Calculator!$B$39-$F25,Calculator!$B$39),Calculator!$B$39)-$F$25)*0.16,R25)-M25)</f>
        <v>916400</v>
      </c>
      <c r="L25" s="259">
        <f>IF(MIN((IF(Calculator!$E$9=TRUE,IF(Calculator!$J$9=TRUE,Calculator!$G$39-$F25,Calculator!$G$39),Calculator!$G$39)-$F$25)*0.16,S25)-N25&lt;0,0,MIN((IF(Calculator!$E$9=TRUE,IF(Calculator!$J$9=TRUE,Calculator!$G$39-$F25,Calculator!$G$39),Calculator!$G$39)-$F$25)*0.16,S25)-N25)</f>
        <v>1913031.4028439065</v>
      </c>
      <c r="M25" s="287">
        <f>IF(Calculator!$H$7=1,0,IF(Calculator!$H$7=2,(Calculator!$B$39-'State Details'!$I25)*0.1,(Calculator!$B$39-'State Details'!$I25)*0.1))</f>
        <v>0</v>
      </c>
      <c r="N25" s="287">
        <f>IF(Calculator!$H$7=1,0,IF(Calculator!$H$7=2,(Calculator!$G$39-'State Details'!$I25)*0.1,(Calculator!$G$39-'State Details'!$I25)*0.1))</f>
        <v>0</v>
      </c>
      <c r="O25" s="154" t="s">
        <v>326</v>
      </c>
      <c r="P25" s="154" t="s">
        <v>317</v>
      </c>
      <c r="Q25" s="154" t="s">
        <v>317</v>
      </c>
      <c r="R25" s="259">
        <f>IF(Calculator!$B$39&lt;=$F25,0,VLOOKUP(IF(Calculator!$E$9=TRUE,IF(Calculator!$J$9=TRUE,Calculator!$B$39-'State Details'!$F25,Calculator!$B$39),Calculator!$B$39),StateTaxes,2)+((IF(Calculator!$E$9=TRUE,IF(Calculator!$J$9=TRUE,Calculator!$B$39-'State Details'!$F25,Calculator!$B$39),Calculator!$B$39)-VLOOKUP(IF(Calculator!$E$9=TRUE,IF(Calculator!$J$9=TRUE,Calculator!$B$39-'State Details'!$F25,Calculator!$B$39),Calculator!$B$39),StateTaxes,1))*VLOOKUP(IF(Calculator!$E$9=TRUE,IF(Calculator!$J$9=TRUE,Calculator!$B$39-'State Details'!$F25,Calculator!$B$39),Calculator!$B$39),StateTaxes,3)))</f>
        <v>916400</v>
      </c>
      <c r="S25" s="259">
        <f>IF(Calculator!$G$39&lt;=$F25,0,VLOOKUP(IF(Calculator!$E$9=TRUE,IF(Calculator!$J$9=TRUE,Calculator!$G$39-'State Details'!$F25,Calculator!$G$39),Calculator!$G$39),StateTaxes,2)+((IF(Calculator!$E$9=TRUE,IF(Calculator!$J$9=TRUE,Calculator!$G$39-'State Details'!$F25,Calculator!$G$39),Calculator!$G$39)-VLOOKUP(IF(Calculator!$E$9=TRUE,IF(Calculator!$J$9=TRUE,Calculator!$G$39-'State Details'!$F25,Calculator!$G$39),Calculator!$G$39),StateTaxes,1))*VLOOKUP(IF(Calculator!$E$9=TRUE,IF(Calculator!$J$9=TRUE,Calculator!$G$39-'State Details'!$F25,Calculator!$G$39),Calculator!$G$39),StateTaxes,3)))</f>
        <v>1913031.4028439065</v>
      </c>
    </row>
    <row r="26" spans="1:62" ht="15" customHeight="1">
      <c r="A26" s="195" t="s">
        <v>132</v>
      </c>
      <c r="B26" s="196">
        <v>-2</v>
      </c>
      <c r="C26" s="197" t="s">
        <v>133</v>
      </c>
      <c r="D26" s="195"/>
      <c r="E26" s="201" t="s">
        <v>102</v>
      </c>
      <c r="F26" s="155">
        <v>1000000</v>
      </c>
      <c r="G26" s="195" t="s">
        <v>119</v>
      </c>
      <c r="H26" s="195"/>
      <c r="I26" s="203"/>
      <c r="J26" s="202" t="s">
        <v>295</v>
      </c>
      <c r="K26" s="259">
        <f>IF(Calculator!$B$39&lt;=$F26,0,VLOOKUP(IF(Calculator!$E$9=TRUE,IF(Calculator!$J$9=TRUE,Calculator!$B$39-'State Details'!$F26,Calculator!$B$39),Calculator!$B$39),StateTaxes,2)+((IF(Calculator!$E$9=TRUE,IF(Calculator!$J$9=TRUE,Calculator!$B$39-'State Details'!$F26,Calculator!$B$39),Calculator!$B$39)-VLOOKUP(IF(Calculator!$E$9=TRUE,IF(Calculator!$J$9=TRUE,Calculator!$B$39-'State Details'!$F26,Calculator!$B$39),Calculator!$B$39),StateTaxes,1))*VLOOKUP(IF(Calculator!$E$9=TRUE,IF(Calculator!$J$9=TRUE,Calculator!$B$39-'State Details'!$F26,Calculator!$B$39),Calculator!$B$39),StateTaxes,3)))</f>
        <v>916400</v>
      </c>
      <c r="L26" s="259">
        <f>IF(Calculator!$G$39&lt;=$F26,0,VLOOKUP(IF(Calculator!$E$9=TRUE,IF(Calculator!$J$9=TRUE,Calculator!$G$39-'State Details'!$F26,Calculator!$G$39),Calculator!$G$39),StateTaxes,2)+((IF(Calculator!$E$9=TRUE,IF(Calculator!$J$9=TRUE,Calculator!$G$39-'State Details'!$F26,Calculator!$G$39),Calculator!$G$39)-VLOOKUP(IF(Calculator!$E$9=TRUE,IF(Calculator!$J$9=TRUE,Calculator!$G$39-'State Details'!$F26,Calculator!$G$39),Calculator!$G$39),StateTaxes,1))*VLOOKUP(IF(Calculator!$E$9=TRUE,IF(Calculator!$J$9=TRUE,Calculator!$G$39-'State Details'!$F26,Calculator!$G$39),Calculator!$G$39),StateTaxes,3)))</f>
        <v>1913031.4028439065</v>
      </c>
      <c r="M26" s="198">
        <v>0</v>
      </c>
      <c r="N26" s="198">
        <v>0</v>
      </c>
      <c r="O26" s="149" t="s">
        <v>258</v>
      </c>
      <c r="P26" s="149" t="s">
        <v>258</v>
      </c>
      <c r="Q26" s="149" t="s">
        <v>258</v>
      </c>
    </row>
    <row r="27" spans="1:62" ht="15" customHeight="1">
      <c r="A27" s="195" t="s">
        <v>134</v>
      </c>
      <c r="B27" s="196">
        <v>-1</v>
      </c>
      <c r="C27" s="197" t="s">
        <v>135</v>
      </c>
      <c r="D27" s="195" t="s">
        <v>89</v>
      </c>
      <c r="E27" s="195"/>
      <c r="F27" s="198"/>
      <c r="G27" s="195"/>
      <c r="H27" s="195"/>
      <c r="I27" s="203"/>
      <c r="J27" s="202"/>
      <c r="K27" s="198">
        <v>0</v>
      </c>
      <c r="L27" s="198">
        <v>0</v>
      </c>
      <c r="M27" s="198">
        <v>0</v>
      </c>
      <c r="N27" s="198">
        <v>0</v>
      </c>
      <c r="O27" s="149" t="s">
        <v>258</v>
      </c>
      <c r="P27" s="149" t="s">
        <v>258</v>
      </c>
      <c r="Q27" s="149" t="s">
        <v>258</v>
      </c>
    </row>
    <row r="28" spans="1:62" ht="15" customHeight="1">
      <c r="A28" s="195" t="s">
        <v>136</v>
      </c>
      <c r="B28" s="196">
        <v>-2</v>
      </c>
      <c r="C28" s="197" t="s">
        <v>137</v>
      </c>
      <c r="D28" s="195"/>
      <c r="E28" s="201" t="s">
        <v>102</v>
      </c>
      <c r="F28" s="155">
        <v>1000000</v>
      </c>
      <c r="G28" s="195" t="s">
        <v>119</v>
      </c>
      <c r="H28" s="195"/>
      <c r="I28" s="203"/>
      <c r="J28" s="202" t="s">
        <v>295</v>
      </c>
      <c r="K28" s="259">
        <f>IF(Calculator!$B$39&lt;=$F28,0,VLOOKUP(IF(Calculator!$E$9=TRUE,IF(Calculator!$J$9=TRUE,Calculator!$B$39-'State Details'!$F28,Calculator!$B$39),Calculator!$B$39),StateTaxes,2)+((IF(Calculator!$E$9=TRUE,IF(Calculator!$J$9=TRUE,Calculator!$B$39-'State Details'!$F28,Calculator!$B$39),Calculator!$B$39)-VLOOKUP(IF(Calculator!$E$9=TRUE,IF(Calculator!$J$9=TRUE,Calculator!$B$39-'State Details'!$F28,Calculator!$B$39),Calculator!$B$39),StateTaxes,1))*VLOOKUP(IF(Calculator!$E$9=TRUE,IF(Calculator!$J$9=TRUE,Calculator!$B$39-'State Details'!$F28,Calculator!$B$39),Calculator!$B$39),StateTaxes,3)))</f>
        <v>916400</v>
      </c>
      <c r="L28" s="259">
        <f>IF(Calculator!$G$39&lt;=$F28,0,VLOOKUP(IF(Calculator!$E$9=TRUE,IF(Calculator!$J$9=TRUE,Calculator!$G$39-'State Details'!$F28,Calculator!$G$39),Calculator!$G$39),StateTaxes,2)+((IF(Calculator!$E$9=TRUE,IF(Calculator!$J$9=TRUE,Calculator!$G$39-'State Details'!$F28,Calculator!$G$39),Calculator!$G$39)-VLOOKUP(IF(Calculator!$E$9=TRUE,IF(Calculator!$J$9=TRUE,Calculator!$G$39-'State Details'!$F28,Calculator!$G$39),Calculator!$G$39),StateTaxes,1))*VLOOKUP(IF(Calculator!$E$9=TRUE,IF(Calculator!$J$9=TRUE,Calculator!$G$39-'State Details'!$F28,Calculator!$G$39),Calculator!$G$39),StateTaxes,3)))</f>
        <v>1913031.4028439065</v>
      </c>
      <c r="M28" s="198">
        <v>0</v>
      </c>
      <c r="N28" s="198">
        <v>0</v>
      </c>
      <c r="O28" s="149" t="s">
        <v>258</v>
      </c>
      <c r="P28" s="149" t="s">
        <v>258</v>
      </c>
      <c r="Q28" s="149" t="s">
        <v>258</v>
      </c>
    </row>
    <row r="29" spans="1:62" ht="15" customHeight="1">
      <c r="A29" s="195" t="s">
        <v>138</v>
      </c>
      <c r="B29" s="196">
        <v>-1</v>
      </c>
      <c r="C29" s="197" t="s">
        <v>139</v>
      </c>
      <c r="D29" s="195" t="s">
        <v>89</v>
      </c>
      <c r="E29" s="195"/>
      <c r="F29" s="198"/>
      <c r="G29" s="195"/>
      <c r="H29" s="195"/>
      <c r="I29" s="203"/>
      <c r="J29" s="202"/>
      <c r="K29" s="198">
        <v>0</v>
      </c>
      <c r="L29" s="198">
        <v>0</v>
      </c>
      <c r="M29" s="198">
        <v>0</v>
      </c>
      <c r="N29" s="198">
        <v>0</v>
      </c>
      <c r="O29" s="149" t="s">
        <v>258</v>
      </c>
      <c r="P29" s="149" t="s">
        <v>258</v>
      </c>
      <c r="Q29" s="149" t="s">
        <v>258</v>
      </c>
    </row>
    <row r="30" spans="1:62" ht="15" customHeight="1">
      <c r="A30" s="195" t="s">
        <v>140</v>
      </c>
      <c r="B30" s="196">
        <v>-1</v>
      </c>
      <c r="C30" s="197" t="s">
        <v>141</v>
      </c>
      <c r="D30" s="195" t="s">
        <v>89</v>
      </c>
      <c r="E30" s="195"/>
      <c r="F30" s="198"/>
      <c r="G30" s="195"/>
      <c r="H30" s="195"/>
      <c r="I30" s="203"/>
      <c r="J30" s="202"/>
      <c r="K30" s="198">
        <v>0</v>
      </c>
      <c r="L30" s="198">
        <v>0</v>
      </c>
      <c r="M30" s="198">
        <v>0</v>
      </c>
      <c r="N30" s="198">
        <v>0</v>
      </c>
      <c r="O30" s="149" t="s">
        <v>258</v>
      </c>
      <c r="P30" s="149" t="s">
        <v>258</v>
      </c>
      <c r="Q30" s="149" t="s">
        <v>258</v>
      </c>
    </row>
    <row r="31" spans="1:62" ht="15" customHeight="1">
      <c r="A31" s="195" t="s">
        <v>142</v>
      </c>
      <c r="B31" s="196">
        <v>-1</v>
      </c>
      <c r="C31" s="197" t="s">
        <v>143</v>
      </c>
      <c r="D31" s="195" t="s">
        <v>89</v>
      </c>
      <c r="E31" s="195"/>
      <c r="F31" s="198"/>
      <c r="G31" s="195"/>
      <c r="H31" s="195"/>
      <c r="I31" s="203"/>
      <c r="J31" s="202"/>
      <c r="K31" s="198">
        <v>0</v>
      </c>
      <c r="L31" s="198">
        <v>0</v>
      </c>
      <c r="M31" s="198">
        <v>0</v>
      </c>
      <c r="N31" s="198">
        <v>0</v>
      </c>
      <c r="O31" s="149" t="s">
        <v>258</v>
      </c>
      <c r="P31" s="149" t="s">
        <v>258</v>
      </c>
      <c r="Q31" s="149" t="s">
        <v>258</v>
      </c>
    </row>
    <row r="32" spans="1:62" ht="15" customHeight="1">
      <c r="A32" s="195" t="s">
        <v>144</v>
      </c>
      <c r="B32" s="196">
        <v>-1</v>
      </c>
      <c r="C32" s="197" t="s">
        <v>145</v>
      </c>
      <c r="D32" s="195" t="s">
        <v>89</v>
      </c>
      <c r="E32" s="195"/>
      <c r="F32" s="198"/>
      <c r="G32" s="195"/>
      <c r="H32" s="201" t="s">
        <v>102</v>
      </c>
      <c r="I32" s="203" t="s">
        <v>266</v>
      </c>
      <c r="J32" s="202" t="s">
        <v>296</v>
      </c>
      <c r="K32" s="198">
        <v>0</v>
      </c>
      <c r="L32" s="198">
        <v>0</v>
      </c>
      <c r="M32" s="259">
        <f>IF(Calculator!$H$7=1,VLOOKUP(Calculator!$B$39+Calculator!$J$8,NE,3)+(((Calculator!$B$39+Calculator!$J$8)-VLOOKUP(Calculator!$B$39+Calculator!$J$8,NE,1))*VLOOKUP(Calculator!$B$39+Calculator!$J$8,NE,4)),IF(Calculator!$H$7=2,VLOOKUP(Calculator!$B$39+Calculator!$J$8,NE,5)+(((Calculator!$B$39+Calculator!$J$8)-VLOOKUP(Calculator!$B$39+Calculator!$J$8,NE,1))*VLOOKUP(Calculator!$B$39+Calculator!$J$8,NE,6)),VLOOKUP(Calculator!$B$39+Calculator!$J$8,NE,7)+(((Calculator!$B$39+Calculator!$J$8)-VLOOKUP(Calculator!$B$39+Calculator!$J$8,NE,1))*VLOOKUP(Calculator!$B$39+Calculator!$J$8,NE,8))))</f>
        <v>99600</v>
      </c>
      <c r="N32" s="259">
        <f>IF(Calculator!$H$7=1,VLOOKUP(Calculator!$G$39+Calculator!$J$8,NE,3)+(((Calculator!$G$39+Calculator!$J$8)-VLOOKUP(Calculator!$G$39+Calculator!$J$8,NE,1))*VLOOKUP(Calculator!$G$39+Calculator!$J$8,NE,4)),IF(Calculator!$H$7=2,VLOOKUP(Calculator!$G$39+Calculator!$J$8,NE,5)+(((Calculator!$G$39+Calculator!$J$8)-VLOOKUP(Calculator!$G$39+Calculator!$J$8,NE,1))*VLOOKUP(Calculator!$G$39+Calculator!$J$8,NE,6)),VLOOKUP(Calculator!$G$39+Calculator!$J$8,NE,7)+(((Calculator!$G$39+Calculator!$J$8)-VLOOKUP(Calculator!$G$39+Calculator!$J$8,NE,1))*VLOOKUP(Calculator!$G$39+Calculator!$J$8,NE,8))))</f>
        <v>162489.46267774416</v>
      </c>
      <c r="O32" s="154" t="s">
        <v>325</v>
      </c>
      <c r="P32" s="154" t="s">
        <v>267</v>
      </c>
      <c r="Q32" s="154" t="s">
        <v>202</v>
      </c>
    </row>
    <row r="33" spans="1:21" ht="15" customHeight="1">
      <c r="A33" s="195" t="s">
        <v>146</v>
      </c>
      <c r="B33" s="196">
        <v>-1</v>
      </c>
      <c r="C33" s="197" t="s">
        <v>147</v>
      </c>
      <c r="D33" s="195" t="s">
        <v>89</v>
      </c>
      <c r="E33" s="195"/>
      <c r="F33" s="198"/>
      <c r="G33" s="195"/>
      <c r="H33" s="195"/>
      <c r="I33" s="203"/>
      <c r="J33" s="202"/>
      <c r="K33" s="198">
        <v>0</v>
      </c>
      <c r="L33" s="198">
        <v>0</v>
      </c>
      <c r="M33" s="203">
        <v>0</v>
      </c>
      <c r="N33" s="203">
        <v>0</v>
      </c>
      <c r="O33" s="149" t="s">
        <v>258</v>
      </c>
      <c r="P33" s="149" t="s">
        <v>258</v>
      </c>
      <c r="Q33" s="149" t="s">
        <v>258</v>
      </c>
    </row>
    <row r="34" spans="1:21" ht="15" customHeight="1">
      <c r="A34" s="195" t="s">
        <v>148</v>
      </c>
      <c r="B34" s="196">
        <v>-1</v>
      </c>
      <c r="C34" s="197" t="s">
        <v>149</v>
      </c>
      <c r="D34" s="195" t="s">
        <v>89</v>
      </c>
      <c r="E34" s="195"/>
      <c r="F34" s="198"/>
      <c r="G34" s="195"/>
      <c r="H34" s="195"/>
      <c r="I34" s="203"/>
      <c r="J34" s="202"/>
      <c r="K34" s="198">
        <v>0</v>
      </c>
      <c r="L34" s="198">
        <v>0</v>
      </c>
      <c r="M34" s="198">
        <v>0</v>
      </c>
      <c r="N34" s="198">
        <v>0</v>
      </c>
      <c r="O34" s="149" t="s">
        <v>258</v>
      </c>
      <c r="P34" s="149" t="s">
        <v>258</v>
      </c>
      <c r="Q34" s="149" t="s">
        <v>258</v>
      </c>
    </row>
    <row r="35" spans="1:21" ht="15" customHeight="1">
      <c r="A35" s="195" t="s">
        <v>150</v>
      </c>
      <c r="B35" s="196">
        <v>-4</v>
      </c>
      <c r="C35" s="197" t="s">
        <v>151</v>
      </c>
      <c r="D35" s="195"/>
      <c r="E35" s="201" t="s">
        <v>102</v>
      </c>
      <c r="F35" s="155">
        <v>675000</v>
      </c>
      <c r="G35" s="195" t="s">
        <v>119</v>
      </c>
      <c r="H35" s="201" t="s">
        <v>102</v>
      </c>
      <c r="I35" s="203"/>
      <c r="J35" s="262" t="s">
        <v>272</v>
      </c>
      <c r="K35" s="259">
        <f>IF(M35&gt;MIN(R35,T35),0,MIN(R35,T35))</f>
        <v>965000</v>
      </c>
      <c r="L35" s="259">
        <f>IF(N35&gt;MIN(S35,U35),0,MIN(S35,U35))</f>
        <v>1965031.4028439065</v>
      </c>
      <c r="M35" s="259">
        <f>IF(Calculator!$H$7=1,VLOOKUP(Calculator!$B$39+Calculator!$J$8,NJ,3)+(((Calculator!$B$39+Calculator!$J$8)-VLOOKUP(Calculator!$B$39+Calculator!$J$8,NJ,1))*VLOOKUP(Calculator!$B$39+Calculator!$J$8,NJ,4)),IF(Calculator!$H$7=2,VLOOKUP(Calculator!$B$39+Calculator!$J$8,NJ,5)+(((Calculator!$B$39+Calculator!$J$8)-VLOOKUP(Calculator!$B$39+Calculator!$J$8,NJ,1))*VLOOKUP(Calculator!$B$39+Calculator!$J$8,NJ,6)),VLOOKUP(Calculator!$B$39+Calculator!$J$8,NJ,7)+(((Calculator!$B$39+Calculator!$J$8)-VLOOKUP(Calculator!$B$39+Calculator!$J$8,NJ,1))*VLOOKUP(Calculator!$B$39+Calculator!$J$8,NJ,8))))</f>
        <v>0</v>
      </c>
      <c r="N35" s="259">
        <f>IF(Calculator!$H$7=1,VLOOKUP(Calculator!$G$39+Calculator!$J$8,NJ,3)+(((Calculator!$G$39+Calculator!$J$8)-VLOOKUP(Calculator!$G$39+Calculator!$J$8,NJ,1))*VLOOKUP(Calculator!$G$39+Calculator!$J$8,NJ,4)),IF(Calculator!$H$7=2,VLOOKUP(Calculator!$G$39+Calculator!$J$8,NJ,5)+(((Calculator!$G$39+Calculator!$J$8)-VLOOKUP(Calculator!$G$39+Calculator!$J$8,NJ,1))*VLOOKUP(Calculator!$G$39+Calculator!$J$8,NJ,6)),VLOOKUP(Calculator!$G$39+Calculator!$J$8,NJ,7)+(((Calculator!$G$39+Calculator!$J$8)-VLOOKUP(Calculator!$G$39+Calculator!$J$8,NJ,1))*VLOOKUP(Calculator!$G$39+Calculator!$J$8,NJ,8))))</f>
        <v>0</v>
      </c>
      <c r="O35" s="154" t="s">
        <v>325</v>
      </c>
      <c r="P35" s="154" t="s">
        <v>262</v>
      </c>
      <c r="Q35" s="154" t="s">
        <v>202</v>
      </c>
      <c r="R35" s="259">
        <f>IF(Calculator!$B$39&lt;=$F35,0,VLOOKUP(IF(Calculator!$E$9=TRUE,IF(Calculator!$J$9=TRUE,Calculator!$B$39-'State Details'!$F35,Calculator!$B$39),Calculator!$B$39),StateTaxes,2)+((IF(Calculator!$E$9=TRUE,IF(Calculator!$J$9=TRUE,Calculator!$B$39-'State Details'!$F35,Calculator!$B$39),Calculator!$B$39)-VLOOKUP(IF(Calculator!$E$9=TRUE,IF(Calculator!$J$9=TRUE,Calculator!$B$39-'State Details'!$F35,Calculator!$B$39),Calculator!$B$39),StateTaxes,1))*VLOOKUP(IF(Calculator!$E$9=TRUE,IF(Calculator!$J$9=TRUE,Calculator!$B$39-'State Details'!$F35,Calculator!$B$39),Calculator!$B$39),StateTaxes,3)))</f>
        <v>965000</v>
      </c>
      <c r="S35" s="259">
        <f>IF(Calculator!$G$39&lt;=$F35,0,VLOOKUP(IF(Calculator!$E$9=TRUE,IF(Calculator!$J$9=TRUE,Calculator!$G$39-'State Details'!$F35,Calculator!$G$39),Calculator!$G$39),StateTaxes,2)+((IF(Calculator!$E$9=TRUE,IF(Calculator!$J$9=TRUE,Calculator!$G$39-'State Details'!$F35,Calculator!$G$39),Calculator!$G$39)-VLOOKUP(IF(Calculator!$E$9=TRUE,IF(Calculator!$J$9=TRUE,Calculator!$G$39-'State Details'!$F35,Calculator!$G$39),Calculator!$G$39),StateTaxes,1))*VLOOKUP(IF(Calculator!$E$9=TRUE,IF(Calculator!$J$9=TRUE,Calculator!$G$39-'State Details'!$F35,Calculator!$G$39),Calculator!$G$39),StateTaxes,3)))</f>
        <v>1965031.4028439065</v>
      </c>
      <c r="T35" s="288">
        <f>IF(VLOOKUP(IF(Calculator!$E$9=TRUE,Calculator!$E$5-Calculator!$B$40,Calculator!$E$5),ETable2,3)+(IF(Calculator!$E$9=TRUE,Calculator!$E$5-Calculator!$B$40,Calculator!$E$5)-VLOOKUP(IF(Calculator!$E$9=TRUE,Calculator!$E$5-Calculator!$B$40,Calculator!$E$5),ETable2,1))*VLOOKUP(IF(Calculator!$E$9=TRUE,Calculator!$E$5-Calculator!$B$40,Calculator!$E$5),ETable2,4)-220550&lt;0,0,VLOOKUP(IF(Calculator!$E$9=TRUE,Calculator!$E$5-Calculator!$B$40,Calculator!$E$5),ETable2,3)+(IF(Calculator!$E$9=TRUE,Calculator!$E$5-Calculator!$B$40,Calculator!$E$5)-VLOOKUP(IF(Calculator!$E$9=TRUE,Calculator!$E$5-Calculator!$B$40,Calculator!$E$5),ETable2,1))*VLOOKUP(IF(Calculator!$E$9=TRUE,Calculator!$E$5-Calculator!$B$40,Calculator!$E$5),ETable2,4)-220550)</f>
        <v>2170250</v>
      </c>
      <c r="U35" s="288">
        <f>IF(VLOOKUP(IF(Calculator!$E$9=TRUE,Calculator!$E$8-Calculator!$G$40,Calculator!$E$8),ETable2,3)+(IF(Calculator!$E$9=TRUE,Calculator!$E$8-Calculator!$G$40,Calculator!$E$8)-VLOOKUP(IF(Calculator!$E$9=TRUE,Calculator!$E$8-Calculator!$G$40,Calculator!$E$8),ETable2,1))*VLOOKUP(IF(Calculator!$E$9=TRUE,Calculator!$E$8-Calculator!$G$40,Calculator!$E$8),ETable2,4)-220550&lt;0,0,VLOOKUP(IF(Calculator!$E$9=TRUE,Calculator!$E$8-Calculator!$G$40,Calculator!$E$8),ETable2,3)+(IF(Calculator!$E$9=TRUE,Calculator!$E$8-Calculator!$G$40,Calculator!$E$8)-VLOOKUP(IF(Calculator!$E$9=TRUE,Calculator!$E$8-Calculator!$G$40,Calculator!$E$8),ETable2,1))*VLOOKUP(IF(Calculator!$E$9=TRUE,Calculator!$E$8-Calculator!$G$40,Calculator!$E$8),ETable2,4)-220550)</f>
        <v>8093617.7606646493</v>
      </c>
    </row>
    <row r="36" spans="1:21" ht="15" customHeight="1">
      <c r="A36" s="195" t="s">
        <v>152</v>
      </c>
      <c r="B36" s="196">
        <v>-1</v>
      </c>
      <c r="C36" s="197" t="s">
        <v>153</v>
      </c>
      <c r="D36" s="195" t="s">
        <v>89</v>
      </c>
      <c r="E36" s="195"/>
      <c r="F36" s="198"/>
      <c r="G36" s="195"/>
      <c r="H36" s="195"/>
      <c r="I36" s="203"/>
      <c r="J36" s="202"/>
      <c r="K36" s="198">
        <v>0</v>
      </c>
      <c r="L36" s="198">
        <v>0</v>
      </c>
      <c r="M36" s="198">
        <v>0</v>
      </c>
      <c r="N36" s="198">
        <v>0</v>
      </c>
      <c r="O36" s="149" t="s">
        <v>258</v>
      </c>
      <c r="P36" s="149" t="s">
        <v>258</v>
      </c>
      <c r="Q36" s="149" t="s">
        <v>258</v>
      </c>
    </row>
    <row r="37" spans="1:21" ht="15" customHeight="1">
      <c r="A37" s="195" t="s">
        <v>154</v>
      </c>
      <c r="B37" s="196">
        <v>-2</v>
      </c>
      <c r="C37" s="197" t="s">
        <v>155</v>
      </c>
      <c r="D37" s="195"/>
      <c r="E37" s="201" t="s">
        <v>102</v>
      </c>
      <c r="F37" s="155">
        <v>1000000</v>
      </c>
      <c r="G37" s="195" t="s">
        <v>119</v>
      </c>
      <c r="H37" s="195"/>
      <c r="I37" s="203"/>
      <c r="J37" s="202" t="s">
        <v>295</v>
      </c>
      <c r="K37" s="259">
        <f>IF(Calculator!$B$39&lt;=$F37,0,VLOOKUP(IF(Calculator!$E$9=TRUE,IF(Calculator!$J$9=TRUE,Calculator!$B$39-'State Details'!$F37,Calculator!$B$39),Calculator!$B$39),StateTaxes,2)+((IF(Calculator!$E$9=TRUE,IF(Calculator!$J$9=TRUE,Calculator!$B$39-'State Details'!$F37,Calculator!$B$39),Calculator!$B$39)-VLOOKUP(IF(Calculator!$E$9=TRUE,IF(Calculator!$J$9=TRUE,Calculator!$B$39-'State Details'!$F37,Calculator!$B$39),Calculator!$B$39),StateTaxes,1))*VLOOKUP(IF(Calculator!$E$9=TRUE,IF(Calculator!$J$9=TRUE,Calculator!$B$39-'State Details'!$F37,Calculator!$B$39),Calculator!$B$39),StateTaxes,3)))</f>
        <v>916400</v>
      </c>
      <c r="L37" s="259">
        <f>IF(Calculator!$G$39&lt;=$F37,0,VLOOKUP(IF(Calculator!$E$9=TRUE,IF(Calculator!$J$9=TRUE,Calculator!$G$39-'State Details'!$F37,Calculator!$G$39),Calculator!$G$39),StateTaxes,2)+((IF(Calculator!$E$9=TRUE,IF(Calculator!$J$9=TRUE,Calculator!$G$39-'State Details'!$F37,Calculator!$G$39),Calculator!$G$39)-VLOOKUP(IF(Calculator!$E$9=TRUE,IF(Calculator!$J$9=TRUE,Calculator!$G$39-'State Details'!$F37,Calculator!$G$39),Calculator!$G$39),StateTaxes,1))*VLOOKUP(IF(Calculator!$E$9=TRUE,IF(Calculator!$J$9=TRUE,Calculator!$G$39-'State Details'!$F37,Calculator!$G$39),Calculator!$G$39),StateTaxes,3)))</f>
        <v>1913031.4028439065</v>
      </c>
      <c r="M37" s="198">
        <v>0</v>
      </c>
      <c r="N37" s="198">
        <v>0</v>
      </c>
      <c r="O37" s="149" t="s">
        <v>258</v>
      </c>
      <c r="P37" s="149" t="s">
        <v>258</v>
      </c>
      <c r="Q37" s="149" t="s">
        <v>258</v>
      </c>
    </row>
    <row r="38" spans="1:21" ht="15" customHeight="1">
      <c r="A38" s="195" t="s">
        <v>156</v>
      </c>
      <c r="B38" s="196">
        <v>-2</v>
      </c>
      <c r="C38" s="197" t="s">
        <v>157</v>
      </c>
      <c r="D38" s="195"/>
      <c r="E38" s="201" t="s">
        <v>102</v>
      </c>
      <c r="F38" s="155">
        <v>5000000</v>
      </c>
      <c r="G38" s="195" t="s">
        <v>119</v>
      </c>
      <c r="H38" s="195"/>
      <c r="I38" s="203"/>
      <c r="J38" s="202" t="s">
        <v>295</v>
      </c>
      <c r="K38" s="259">
        <f>IF(M38&gt;MIN(R38,T38),0,MIN(R38,T38))</f>
        <v>0</v>
      </c>
      <c r="L38" s="259">
        <f>IF(N38&gt;MIN(S38,U38),0,MIN(S38,U38))</f>
        <v>1273031.4028439065</v>
      </c>
      <c r="M38" s="198">
        <v>0</v>
      </c>
      <c r="N38" s="198">
        <v>0</v>
      </c>
      <c r="O38" s="149" t="s">
        <v>258</v>
      </c>
      <c r="P38" s="149" t="s">
        <v>258</v>
      </c>
      <c r="Q38" s="149" t="s">
        <v>258</v>
      </c>
      <c r="R38" s="153">
        <f>IF(Calculator!$B$39&lt;=$F38,0,VLOOKUP(IF(Calculator!$E$9=TRUE,IF(Calculator!$J$9=TRUE,Calculator!$B$39-'State Details'!$F38,Calculator!$B$39),Calculator!$B$39),StateTaxes,2)+((IF(Calculator!$E$9=TRUE,IF(Calculator!$J$9=TRUE,Calculator!$B$39-'State Details'!$F38,Calculator!$B$39),Calculator!$B$39)-VLOOKUP(IF(Calculator!$E$9=TRUE,IF(Calculator!$J$9=TRUE,Calculator!$B$39-'State Details'!$F38,Calculator!$B$39),Calculator!$B$39),StateTaxes,1))*VLOOKUP(IF(Calculator!$E$9=TRUE,IF(Calculator!$J$9=TRUE,Calculator!$B$39-'State Details'!$F38,Calculator!$B$39),Calculator!$B$39),StateTaxes,3)))</f>
        <v>391600</v>
      </c>
      <c r="S38" s="153">
        <f>IF(Calculator!$G$39&lt;=$F38,0,VLOOKUP(IF(Calculator!$E$9=TRUE,IF(Calculator!$J$9=TRUE,Calculator!$G$39-'State Details'!$F38,Calculator!$G$39),Calculator!$G$39),StateTaxes,2)+((IF(Calculator!$E$9=TRUE,IF(Calculator!$J$9=TRUE,Calculator!$G$39-'State Details'!$F38,Calculator!$G$39),Calculator!$G$39)-VLOOKUP(IF(Calculator!$E$9=TRUE,IF(Calculator!$J$9=TRUE,Calculator!$G$39-'State Details'!$F38,Calculator!$G$39),Calculator!$G$39),StateTaxes,1))*VLOOKUP(IF(Calculator!$E$9=TRUE,IF(Calculator!$J$9=TRUE,Calculator!$G$39-'State Details'!$F38,Calculator!$G$39),Calculator!$G$39),StateTaxes,3)))</f>
        <v>1273031.4028439065</v>
      </c>
      <c r="T38" s="289">
        <f>IF((IF(Calculator!$E$9=TRUE,Calculator!$E$5-Calculator!$B$40,Calculator!$E$5)-'State Details'!$F$38)*0.35&lt;0,0,(IF(Calculator!$E$9=TRUE,Calculator!$E$5-Calculator!$B$40,Calculator!$E$5)-'State Details'!$F$38)*0.35)</f>
        <v>0</v>
      </c>
      <c r="U38" s="289">
        <f>IF((IF(Calculator!$E$9=TRUE,Calculator!$E$8-Calculator!$G$40,Calculator!$E$8)-'State Details'!$F$38)*0.35&lt;0,0,(IF(Calculator!$E$9=TRUE,Calculator!$E$8-Calculator!$G$40,Calculator!$E$8)-'State Details'!$F$38)*0.35)</f>
        <v>3601131.1937210453</v>
      </c>
    </row>
    <row r="39" spans="1:21" ht="15" customHeight="1">
      <c r="A39" s="195" t="s">
        <v>158</v>
      </c>
      <c r="B39" s="196">
        <v>-1</v>
      </c>
      <c r="C39" s="197" t="s">
        <v>159</v>
      </c>
      <c r="D39" s="195" t="s">
        <v>89</v>
      </c>
      <c r="E39" s="195"/>
      <c r="F39" s="198"/>
      <c r="G39" s="195"/>
      <c r="H39" s="195"/>
      <c r="I39" s="203"/>
      <c r="J39" s="202"/>
      <c r="K39" s="198">
        <v>0</v>
      </c>
      <c r="L39" s="198">
        <v>0</v>
      </c>
      <c r="M39" s="198">
        <v>0</v>
      </c>
      <c r="N39" s="198">
        <v>0</v>
      </c>
      <c r="O39" s="149" t="s">
        <v>258</v>
      </c>
      <c r="P39" s="149" t="s">
        <v>258</v>
      </c>
      <c r="Q39" s="149" t="s">
        <v>258</v>
      </c>
    </row>
    <row r="40" spans="1:21" ht="15" customHeight="1">
      <c r="A40" s="195" t="s">
        <v>160</v>
      </c>
      <c r="B40" s="200"/>
      <c r="C40" s="197" t="s">
        <v>161</v>
      </c>
      <c r="D40" s="195" t="s">
        <v>89</v>
      </c>
      <c r="E40" s="201"/>
      <c r="F40" s="204">
        <v>338333</v>
      </c>
      <c r="G40" s="195"/>
      <c r="H40" s="203"/>
      <c r="I40" s="203"/>
      <c r="J40" s="202" t="s">
        <v>296</v>
      </c>
      <c r="K40" s="259">
        <f>IF(Calculator!$B$39&lt;=$F40,0,VLOOKUP(IF(Calculator!$E$9=TRUE,IF(Calculator!$J$9=TRUE,Calculator!$B$39-'State Details'!$F40,Calculator!$B$39),Calculator!$B$39),OH,3)+((IF(Calculator!$E$9=TRUE,IF(Calculator!$J$9=TRUE,Calculator!$B$39-'State Details'!$F40,Calculator!$B$39),Calculator!$B$39)-VLOOKUP(IF(Calculator!$E$9=TRUE,IF(Calculator!$J$9=TRUE,Calculator!$B$39-'State Details'!$F40,Calculator!$B$39),Calculator!$B$39),OH,1))*VLOOKUP(IF(Calculator!$E$9=TRUE,IF(Calculator!$J$9=TRUE,Calculator!$B$39-'State Details'!$F40,Calculator!$B$39),Calculator!$B$39),OH,4)))</f>
        <v>651016.71000000008</v>
      </c>
      <c r="L40" s="259">
        <f>IF(Calculator!$G$39&lt;=$F40,0,VLOOKUP(IF(Calculator!$E$9=TRUE,IF(Calculator!$J$9=TRUE,Calculator!$G$39-'State Details'!$F40,Calculator!$G$39),Calculator!$G$39),OH,3)+((IF(Calculator!$E$9=TRUE,IF(Calculator!$J$9=TRUE,Calculator!$G$39-'State Details'!$F40,Calculator!$G$39),Calculator!$G$39)-VLOOKUP(IF(Calculator!$E$9=TRUE,IF(Calculator!$J$9=TRUE,Calculator!$G$39-'State Details'!$F40,Calculator!$G$39),Calculator!$G$39),OH,1))*VLOOKUP(IF(Calculator!$E$9=TRUE,IF(Calculator!$J$9=TRUE,Calculator!$G$39-'State Details'!$F40,Calculator!$G$39),Calculator!$G$39),OH,4)))</f>
        <v>1091242.9487442093</v>
      </c>
      <c r="M40" s="198">
        <v>0</v>
      </c>
      <c r="N40" s="198">
        <v>0</v>
      </c>
      <c r="O40" s="149" t="s">
        <v>258</v>
      </c>
      <c r="P40" s="149" t="s">
        <v>258</v>
      </c>
      <c r="Q40" s="149" t="s">
        <v>258</v>
      </c>
    </row>
    <row r="41" spans="1:21" ht="15" customHeight="1">
      <c r="A41" s="195" t="s">
        <v>162</v>
      </c>
      <c r="B41" s="196">
        <v>-1</v>
      </c>
      <c r="C41" s="197" t="s">
        <v>163</v>
      </c>
      <c r="D41" s="195" t="s">
        <v>89</v>
      </c>
      <c r="E41" s="195"/>
      <c r="F41" s="195"/>
      <c r="G41" s="195"/>
      <c r="H41" s="195"/>
      <c r="I41" s="203"/>
      <c r="J41" s="202"/>
      <c r="K41" s="198">
        <v>0</v>
      </c>
      <c r="L41" s="198">
        <v>0</v>
      </c>
      <c r="M41" s="198">
        <v>0</v>
      </c>
      <c r="N41" s="198">
        <v>0</v>
      </c>
      <c r="O41" s="149" t="s">
        <v>258</v>
      </c>
      <c r="P41" s="149" t="s">
        <v>258</v>
      </c>
      <c r="Q41" s="149" t="s">
        <v>258</v>
      </c>
    </row>
    <row r="42" spans="1:21" ht="15" customHeight="1">
      <c r="A42" s="195" t="s">
        <v>164</v>
      </c>
      <c r="B42" s="196">
        <v>-2</v>
      </c>
      <c r="C42" s="197" t="s">
        <v>165</v>
      </c>
      <c r="D42" s="195"/>
      <c r="E42" s="201" t="s">
        <v>102</v>
      </c>
      <c r="F42" s="155">
        <v>1000000</v>
      </c>
      <c r="G42" s="195" t="s">
        <v>119</v>
      </c>
      <c r="H42" s="195"/>
      <c r="I42" s="203"/>
      <c r="J42" s="202" t="s">
        <v>295</v>
      </c>
      <c r="K42" s="259">
        <f>IF(Calculator!$B$39&lt;=$F42,0,VLOOKUP(IF(Calculator!$E$9=TRUE,IF(Calculator!$J$9=TRUE,Calculator!$B$39-'State Details'!$F42,Calculator!$B$39),Calculator!$B$39),StateTaxes,2)+((IF(Calculator!$E$9=TRUE,IF(Calculator!$J$9=TRUE,Calculator!$B$39-'State Details'!$F42,Calculator!$B$39),Calculator!$B$39)-VLOOKUP(IF(Calculator!$E$9=TRUE,IF(Calculator!$J$9=TRUE,Calculator!$B$39-'State Details'!$F42,Calculator!$B$39),Calculator!$B$39),StateTaxes,1))*VLOOKUP(IF(Calculator!$E$9=TRUE,IF(Calculator!$J$9=TRUE,Calculator!$B$39-'State Details'!$F42,Calculator!$B$39),Calculator!$B$39),StateTaxes,3)))</f>
        <v>916400</v>
      </c>
      <c r="L42" s="259">
        <f>IF(Calculator!$G$39&lt;=$F42,0,VLOOKUP(IF(Calculator!$E$9=TRUE,IF(Calculator!$J$9=TRUE,Calculator!$G$39-'State Details'!$F42,Calculator!$G$39),Calculator!$G$39),StateTaxes,2)+((IF(Calculator!$E$9=TRUE,IF(Calculator!$J$9=TRUE,Calculator!$G$39-'State Details'!$F42,Calculator!$G$39),Calculator!$G$39)-VLOOKUP(IF(Calculator!$E$9=TRUE,IF(Calculator!$J$9=TRUE,Calculator!$G$39-'State Details'!$F42,Calculator!$G$39),Calculator!$G$39),StateTaxes,1))*VLOOKUP(IF(Calculator!$E$9=TRUE,IF(Calculator!$J$9=TRUE,Calculator!$G$39-'State Details'!$F42,Calculator!$G$39),Calculator!$G$39),StateTaxes,3)))</f>
        <v>1913031.4028439065</v>
      </c>
      <c r="M42" s="198">
        <v>0</v>
      </c>
      <c r="N42" s="198">
        <v>0</v>
      </c>
      <c r="O42" s="149" t="s">
        <v>258</v>
      </c>
      <c r="P42" s="149" t="s">
        <v>258</v>
      </c>
      <c r="Q42" s="149" t="s">
        <v>258</v>
      </c>
    </row>
    <row r="43" spans="1:21" ht="15" customHeight="1">
      <c r="A43" s="195" t="s">
        <v>166</v>
      </c>
      <c r="B43" s="196">
        <v>-1</v>
      </c>
      <c r="C43" s="197" t="s">
        <v>167</v>
      </c>
      <c r="D43" s="195" t="s">
        <v>89</v>
      </c>
      <c r="E43" s="195"/>
      <c r="F43" s="198"/>
      <c r="G43" s="195" t="s">
        <v>119</v>
      </c>
      <c r="H43" s="201" t="s">
        <v>102</v>
      </c>
      <c r="I43" s="203">
        <v>3500</v>
      </c>
      <c r="J43" s="202"/>
      <c r="K43" s="198">
        <v>0</v>
      </c>
      <c r="L43" s="198">
        <v>0</v>
      </c>
      <c r="M43" s="287">
        <f>IF(Calculator!$B$39&lt;=$I43,0,IF(Calculator!$H$7=1,VLOOKUP("PA",Inheritance,2,FALSE)*(Calculator!$E$5+Calculator!$J$8),IF(Calculator!$H$7=2,VLOOKUP("PA",Inheritance,3,FALSE)*(Calculator!$E$5+Calculator!$J$8),VLOOKUP("PA",Inheritance,4,FALSE)*(Calculator!$E$5+Calculator!$J$8))))</f>
        <v>450000</v>
      </c>
      <c r="N43" s="287">
        <f>IF(Calculator!$B$39&lt;=$I43,0,IF(Calculator!$H$7=1,VLOOKUP("PA",Inheritance,2,FALSE)*(Calculator!$E$8+Calculator!$J$8),IF(Calculator!$H$7=2,VLOOKUP("PA",Inheritance,3,FALSE)*(Calculator!$E$8+Calculator!$J$8),VLOOKUP("PA",Inheritance,4,FALSE)*(Calculator!$E$8+Calculator!$J$8))))</f>
        <v>733002.58204984874</v>
      </c>
      <c r="O43" s="154" t="s">
        <v>325</v>
      </c>
      <c r="P43" s="154" t="s">
        <v>262</v>
      </c>
      <c r="Q43" s="154" t="s">
        <v>202</v>
      </c>
    </row>
    <row r="44" spans="1:21" ht="15" customHeight="1">
      <c r="A44" s="195" t="s">
        <v>168</v>
      </c>
      <c r="B44" s="196">
        <v>-2</v>
      </c>
      <c r="C44" s="197" t="s">
        <v>169</v>
      </c>
      <c r="D44" s="195"/>
      <c r="E44" s="201" t="s">
        <v>102</v>
      </c>
      <c r="F44" s="155">
        <v>850000</v>
      </c>
      <c r="G44" s="195"/>
      <c r="H44" s="195"/>
      <c r="I44" s="198"/>
      <c r="J44" s="202" t="s">
        <v>295</v>
      </c>
      <c r="K44" s="259">
        <f>IF(Calculator!$B$39&lt;=$F44,0,VLOOKUP(IF(Calculator!$E$9=TRUE,IF(Calculator!$J$9=TRUE,Calculator!$B$39-'State Details'!$F44,Calculator!$B$39),Calculator!$B$39),StateTaxes,2)+((IF(Calculator!$E$9=TRUE,IF(Calculator!$J$9=TRUE,Calculator!$B$39-'State Details'!$F44,Calculator!$B$39),Calculator!$B$39)-VLOOKUP(IF(Calculator!$E$9=TRUE,IF(Calculator!$J$9=TRUE,Calculator!$B$39-'State Details'!$F44,Calculator!$B$39),Calculator!$B$39),StateTaxes,1))*VLOOKUP(IF(Calculator!$E$9=TRUE,IF(Calculator!$J$9=TRUE,Calculator!$B$39-'State Details'!$F44,Calculator!$B$39),Calculator!$B$39),StateTaxes,3)))</f>
        <v>938400</v>
      </c>
      <c r="L44" s="259">
        <f>IF(Calculator!$G$39&lt;=$F44,0,VLOOKUP(IF(Calculator!$E$9=TRUE,IF(Calculator!$J$9=TRUE,Calculator!$G$39-'State Details'!$F44,Calculator!$G$39),Calculator!$G$39),StateTaxes,2)+((IF(Calculator!$E$9=TRUE,IF(Calculator!$J$9=TRUE,Calculator!$G$39-'State Details'!$F44,Calculator!$G$39),Calculator!$G$39)-VLOOKUP(IF(Calculator!$E$9=TRUE,IF(Calculator!$J$9=TRUE,Calculator!$G$39-'State Details'!$F44,Calculator!$G$39),Calculator!$G$39),StateTaxes,1))*VLOOKUP(IF(Calculator!$E$9=TRUE,IF(Calculator!$J$9=TRUE,Calculator!$G$39-'State Details'!$F44,Calculator!$G$39),Calculator!$G$39),StateTaxes,3)))</f>
        <v>1937031.4028439065</v>
      </c>
      <c r="M44" s="198">
        <v>0</v>
      </c>
      <c r="N44" s="198">
        <v>0</v>
      </c>
      <c r="O44" s="149" t="s">
        <v>258</v>
      </c>
      <c r="P44" s="149" t="s">
        <v>258</v>
      </c>
      <c r="Q44" s="149" t="s">
        <v>258</v>
      </c>
    </row>
    <row r="45" spans="1:21" ht="15" customHeight="1">
      <c r="A45" s="195" t="s">
        <v>170</v>
      </c>
      <c r="B45" s="196">
        <v>-1</v>
      </c>
      <c r="C45" s="197" t="s">
        <v>171</v>
      </c>
      <c r="D45" s="195" t="s">
        <v>89</v>
      </c>
      <c r="E45" s="195"/>
      <c r="F45" s="198"/>
      <c r="G45" s="195"/>
      <c r="H45" s="195"/>
      <c r="I45" s="198"/>
      <c r="J45" s="202"/>
      <c r="K45" s="198">
        <v>0</v>
      </c>
      <c r="L45" s="198">
        <v>0</v>
      </c>
      <c r="M45" s="198">
        <v>0</v>
      </c>
      <c r="N45" s="198">
        <v>0</v>
      </c>
      <c r="O45" s="149" t="s">
        <v>258</v>
      </c>
      <c r="P45" s="149" t="s">
        <v>258</v>
      </c>
      <c r="Q45" s="149" t="s">
        <v>258</v>
      </c>
    </row>
    <row r="46" spans="1:21" ht="15" customHeight="1">
      <c r="A46" s="195" t="s">
        <v>172</v>
      </c>
      <c r="B46" s="196">
        <v>-1</v>
      </c>
      <c r="C46" s="197" t="s">
        <v>173</v>
      </c>
      <c r="D46" s="195" t="s">
        <v>89</v>
      </c>
      <c r="E46" s="195"/>
      <c r="F46" s="198"/>
      <c r="G46" s="195"/>
      <c r="H46" s="195"/>
      <c r="I46" s="198"/>
      <c r="J46" s="202"/>
      <c r="K46" s="198">
        <v>0</v>
      </c>
      <c r="L46" s="198">
        <v>0</v>
      </c>
      <c r="M46" s="198">
        <v>0</v>
      </c>
      <c r="N46" s="198">
        <v>0</v>
      </c>
      <c r="O46" s="149" t="s">
        <v>258</v>
      </c>
      <c r="P46" s="149" t="s">
        <v>258</v>
      </c>
      <c r="Q46" s="149" t="s">
        <v>258</v>
      </c>
    </row>
    <row r="47" spans="1:21" ht="15" customHeight="1">
      <c r="A47" s="195" t="s">
        <v>174</v>
      </c>
      <c r="B47" s="196">
        <v>-4</v>
      </c>
      <c r="C47" s="197" t="s">
        <v>175</v>
      </c>
      <c r="D47" s="195"/>
      <c r="E47" s="201" t="s">
        <v>102</v>
      </c>
      <c r="F47" s="155">
        <v>1000000</v>
      </c>
      <c r="G47" s="195" t="s">
        <v>119</v>
      </c>
      <c r="H47" s="201" t="s">
        <v>102</v>
      </c>
      <c r="I47" s="198"/>
      <c r="J47" s="262" t="s">
        <v>272</v>
      </c>
      <c r="K47" s="259">
        <f>IF(M47&gt;R47,0,R47-M47)</f>
        <v>0</v>
      </c>
      <c r="L47" s="259">
        <f>IF(N47&gt;S47,0,S47-N47)</f>
        <v>567181.50740533695</v>
      </c>
      <c r="M47" s="259">
        <f>IF(Calculator!$B$39&lt;=$F47,0,VLOOKUP(IF(Calculator!$E$9=TRUE,IF(Calculator!$J$9=TRUE,Calculator!$B$39-'State Details'!$F47,Calculator!$B$39),Calculator!$B$39)+Calculator!$J$8-$F47,TN,3)+(((IF(Calculator!$E$9=TRUE,IF(Calculator!$J$9=TRUE,Calculator!$B$39-'State Details'!$F47,Calculator!$B$39),Calculator!$B$39)+Calculator!$J$8-$F47)-VLOOKUP(IF(Calculator!$E$9=TRUE,IF(Calculator!$J$9=TRUE,Calculator!$B$39-'State Details'!$F47,Calculator!$B$39),Calculator!$B$39)+Calculator!$J$8-$F47,TN,1))*VLOOKUP(IF(Calculator!$E$9=TRUE,IF(Calculator!$J$9=TRUE,Calculator!$B$39-'State Details'!$F47,Calculator!$B$39),Calculator!$B$39)+Calculator!$J$8-$F47,TN,4)))</f>
        <v>748400</v>
      </c>
      <c r="N47" s="259">
        <f>IF(Calculator!$G$39&lt;=$F47,0,VLOOKUP(IF(Calculator!$E$9=TRUE,IF(Calculator!$J$9=TRUE,Calculator!$G$39-'State Details'!$F47,Calculator!$G$39),Calculator!$G$39)+Calculator!$J$8-$F47,TN,3)+(((IF(Calculator!$E$9=TRUE,IF(Calculator!$J$9=TRUE,Calculator!$G$39-'State Details'!$F47,Calculator!$G$39),Calculator!$G$39)+Calculator!$J$8-$F47)-VLOOKUP(IF(Calculator!$E$9=TRUE,IF(Calculator!$J$9=TRUE,Calculator!$G$39-'State Details'!$F47,Calculator!$G$39),Calculator!$G$39)+Calculator!$J$8-$F47,TN,1))*VLOOKUP(IF(Calculator!$E$9=TRUE,IF(Calculator!$J$9=TRUE,Calculator!$G$39-'State Details'!$F47,Calculator!$G$39),Calculator!$G$39)+Calculator!$J$8-$F47,TN,4)))</f>
        <v>1345849.8954385696</v>
      </c>
      <c r="O47" s="154" t="s">
        <v>306</v>
      </c>
      <c r="P47" s="154" t="s">
        <v>306</v>
      </c>
      <c r="Q47" s="154" t="s">
        <v>306</v>
      </c>
      <c r="R47" s="259">
        <v>0</v>
      </c>
      <c r="S47" s="259">
        <f>IF(Calculator!$G$39&lt;=$F47,0,VLOOKUP(IF(Calculator!$E$9=TRUE,IF(Calculator!$J$9=TRUE,Calculator!$G$39-'State Details'!$F47,Calculator!$G$39),Calculator!$G$39),StateTaxes,2)+((IF(Calculator!$E$9=TRUE,IF(Calculator!$J$9=TRUE,Calculator!$G$39-'State Details'!$F47,Calculator!$G$39),Calculator!$G$39)-VLOOKUP(IF(Calculator!$E$9=TRUE,IF(Calculator!$J$9=TRUE,Calculator!$G$39-'State Details'!$F47,Calculator!$G$39),Calculator!$G$39),StateTaxes,1))*VLOOKUP(IF(Calculator!$E$9=TRUE,IF(Calculator!$J$9=TRUE,Calculator!$G$39-'State Details'!$F47,Calculator!$G$39),Calculator!$G$39),StateTaxes,3)))</f>
        <v>1913031.4028439065</v>
      </c>
      <c r="T47" s="149" t="s">
        <v>308</v>
      </c>
    </row>
    <row r="48" spans="1:21" ht="15" customHeight="1">
      <c r="A48" s="195" t="s">
        <v>176</v>
      </c>
      <c r="B48" s="196">
        <v>-1</v>
      </c>
      <c r="C48" s="197" t="s">
        <v>177</v>
      </c>
      <c r="D48" s="195" t="s">
        <v>89</v>
      </c>
      <c r="E48" s="195"/>
      <c r="F48" s="198"/>
      <c r="G48" s="195"/>
      <c r="H48" s="195"/>
      <c r="I48" s="198"/>
      <c r="J48" s="202"/>
      <c r="K48" s="198">
        <v>0</v>
      </c>
      <c r="L48" s="198">
        <v>0</v>
      </c>
      <c r="M48" s="198">
        <v>0</v>
      </c>
      <c r="N48" s="198">
        <v>0</v>
      </c>
      <c r="O48" s="149" t="s">
        <v>258</v>
      </c>
      <c r="P48" s="149" t="s">
        <v>258</v>
      </c>
      <c r="Q48" s="149" t="s">
        <v>258</v>
      </c>
    </row>
    <row r="49" spans="1:21" ht="15" customHeight="1">
      <c r="A49" s="195" t="s">
        <v>178</v>
      </c>
      <c r="B49" s="196">
        <v>-1</v>
      </c>
      <c r="C49" s="197" t="s">
        <v>179</v>
      </c>
      <c r="D49" s="195" t="s">
        <v>89</v>
      </c>
      <c r="E49" s="195"/>
      <c r="F49" s="198"/>
      <c r="G49" s="195"/>
      <c r="H49" s="195"/>
      <c r="I49" s="198"/>
      <c r="J49" s="202"/>
      <c r="K49" s="198">
        <v>0</v>
      </c>
      <c r="L49" s="198">
        <v>0</v>
      </c>
      <c r="M49" s="198">
        <v>0</v>
      </c>
      <c r="N49" s="198">
        <v>0</v>
      </c>
      <c r="O49" s="149" t="s">
        <v>258</v>
      </c>
      <c r="P49" s="149" t="s">
        <v>258</v>
      </c>
      <c r="Q49" s="149" t="s">
        <v>258</v>
      </c>
    </row>
    <row r="50" spans="1:21" ht="15" customHeight="1">
      <c r="A50" s="195" t="s">
        <v>180</v>
      </c>
      <c r="B50" s="196">
        <v>-2</v>
      </c>
      <c r="C50" s="197" t="s">
        <v>181</v>
      </c>
      <c r="D50" s="195"/>
      <c r="E50" s="201" t="s">
        <v>102</v>
      </c>
      <c r="F50" s="155">
        <v>2750000</v>
      </c>
      <c r="G50" s="195" t="s">
        <v>119</v>
      </c>
      <c r="H50" s="195"/>
      <c r="I50" s="198"/>
      <c r="J50" s="202" t="s">
        <v>295</v>
      </c>
      <c r="K50" s="259">
        <f>IF(M50&gt;MIN(R50,T50),0,MIN(R50,T50))</f>
        <v>671200</v>
      </c>
      <c r="L50" s="259">
        <f>IF(N50&gt;MIN(S50,U50),0,MIN(S50,U50))</f>
        <v>1633031.4028439065</v>
      </c>
      <c r="M50" s="198">
        <v>0</v>
      </c>
      <c r="N50" s="198">
        <v>0</v>
      </c>
      <c r="O50" s="149" t="s">
        <v>258</v>
      </c>
      <c r="P50" s="149" t="s">
        <v>258</v>
      </c>
      <c r="Q50" s="149" t="s">
        <v>258</v>
      </c>
      <c r="R50" s="153">
        <f>IF(Calculator!$B$39&lt;=$F50,0,VLOOKUP(IF(Calculator!$E$9=TRUE,IF(Calculator!$J$9=TRUE,Calculator!$B$39-'State Details'!$F50,Calculator!$B$39),Calculator!$B$39),StateTaxes,2)+((IF(Calculator!$E$9=TRUE,IF(Calculator!$J$9=TRUE,Calculator!$B$39-'State Details'!$F50,Calculator!$B$39),Calculator!$B$39)-VLOOKUP(IF(Calculator!$E$9=TRUE,IF(Calculator!$J$9=TRUE,Calculator!$B$39-'State Details'!$F50,Calculator!$B$39),Calculator!$B$39),StateTaxes,1))*VLOOKUP(IF(Calculator!$E$9=TRUE,IF(Calculator!$J$9=TRUE,Calculator!$B$39-'State Details'!$F50,Calculator!$B$39),Calculator!$B$39),StateTaxes,3)))</f>
        <v>671200</v>
      </c>
      <c r="S50" s="153">
        <f>IF(Calculator!$G$39&lt;=$F50,0,VLOOKUP(IF(Calculator!$E$9=TRUE,IF(Calculator!$J$9=TRUE,Calculator!$G$39-'State Details'!$F50,Calculator!$G$39),Calculator!$G$39),StateTaxes,2)+((IF(Calculator!$E$9=TRUE,IF(Calculator!$J$9=TRUE,Calculator!$G$39-'State Details'!$F50,Calculator!$G$39),Calculator!$G$39)-VLOOKUP(IF(Calculator!$E$9=TRUE,IF(Calculator!$J$9=TRUE,Calculator!$G$39-'State Details'!$F50,Calculator!$G$39),Calculator!$G$39),StateTaxes,1))*VLOOKUP(IF(Calculator!$E$9=TRUE,IF(Calculator!$J$9=TRUE,Calculator!$G$39-'State Details'!$F50,Calculator!$G$39),Calculator!$G$39),StateTaxes,3)))</f>
        <v>1633031.4028439065</v>
      </c>
      <c r="T50" s="289">
        <f>IF((IF(Calculator!$E$9=TRUE,Calculator!$E$5-Calculator!$B$40,Calculator!$E$5)-'State Details'!$F$50)*0.45&lt;0,0,(IF(Calculator!$E$9=TRUE,Calculator!$E$5-Calculator!$B$40,Calculator!$E$5)-'State Details'!$F$50)*0.45)</f>
        <v>1012500</v>
      </c>
      <c r="U50" s="289">
        <f>IF((IF(Calculator!$E$9=TRUE,Calculator!$E$8-Calculator!$G$40,Calculator!$E$8)-'State Details'!$F$50)*0.45&lt;0,0,(IF(Calculator!$E$9=TRUE,Calculator!$E$8-Calculator!$G$40,Calculator!$E$8)-'State Details'!$F$50)*0.45)</f>
        <v>5642525.820498487</v>
      </c>
    </row>
    <row r="51" spans="1:21" ht="15" customHeight="1">
      <c r="A51" s="195" t="s">
        <v>182</v>
      </c>
      <c r="B51" s="196">
        <v>-1</v>
      </c>
      <c r="C51" s="197" t="s">
        <v>183</v>
      </c>
      <c r="D51" s="195" t="s">
        <v>89</v>
      </c>
      <c r="E51" s="195"/>
      <c r="F51" s="198"/>
      <c r="G51" s="195"/>
      <c r="H51" s="195"/>
      <c r="I51" s="198"/>
      <c r="J51" s="202"/>
      <c r="K51" s="198">
        <v>0</v>
      </c>
      <c r="L51" s="198">
        <v>0</v>
      </c>
      <c r="M51" s="198">
        <v>0</v>
      </c>
      <c r="N51" s="198">
        <v>0</v>
      </c>
      <c r="O51" s="149" t="s">
        <v>258</v>
      </c>
      <c r="P51" s="149" t="s">
        <v>258</v>
      </c>
      <c r="Q51" s="149" t="s">
        <v>258</v>
      </c>
    </row>
    <row r="52" spans="1:21" ht="15" customHeight="1">
      <c r="A52" s="195" t="s">
        <v>184</v>
      </c>
      <c r="B52" s="200"/>
      <c r="C52" s="197" t="s">
        <v>185</v>
      </c>
      <c r="D52" s="195"/>
      <c r="E52" s="201" t="s">
        <v>102</v>
      </c>
      <c r="F52" s="155">
        <v>2000000</v>
      </c>
      <c r="G52" s="195"/>
      <c r="H52" s="195"/>
      <c r="I52" s="198"/>
      <c r="J52" s="202" t="s">
        <v>298</v>
      </c>
      <c r="K52" s="259">
        <f>IF(Calculator!$B$39&lt;=$F52,0,VLOOKUP(IF(Calculator!$E$9=TRUE,IF(Calculator!$J$9=TRUE,Calculator!$B$39-'State Details'!$F52,Calculator!$B$39),Calculator!$B$39)+Calculator!$J$8-$F$52,WA,3)+(((IF(Calculator!$E$9=TRUE,IF(Calculator!$J$9=TRUE,Calculator!$B$39-'State Details'!$F52,Calculator!$B$39),Calculator!$B$39)+Calculator!$J$8-$F$52)-VLOOKUP(IF(Calculator!$E$9=TRUE,IF(Calculator!$J$9=TRUE,Calculator!$B$39-'State Details'!$F52,Calculator!$B$39),Calculator!$B$39)+Calculator!$J$8-$F$52,WA,1))*VLOOKUP(IF(Calculator!$E$9=TRUE,IF(Calculator!$J$9=TRUE,Calculator!$B$39-'State Details'!$F52,Calculator!$B$39),Calculator!$B$39)+Calculator!$J$8-$F$52,WA,4)))</f>
        <v>890000</v>
      </c>
      <c r="L52" s="259">
        <f>IF(Calculator!$G$39&lt;=$F52,0,VLOOKUP(IF(Calculator!$E$9=TRUE,IF(Calculator!$J$9=TRUE,Calculator!$G$39-'State Details'!$F52,Calculator!$G$39),Calculator!$G$39)+Calculator!$J$8-$F$52,WA,3)+(((IF(Calculator!$E$9=TRUE,IF(Calculator!$J$9=TRUE,Calculator!$G$39-'State Details'!$F52,Calculator!$G$39),Calculator!$G$39)+Calculator!$J$8-$F$52)-VLOOKUP(IF(Calculator!$E$9=TRUE,IF(Calculator!$J$9=TRUE,Calculator!$G$39-'State Details'!$F52,Calculator!$G$39),Calculator!$G$39)+Calculator!$J$8-$F$52,WA,1))*VLOOKUP(IF(Calculator!$E$9=TRUE,IF(Calculator!$J$9=TRUE,Calculator!$G$39-'State Details'!$F52,Calculator!$G$39),Calculator!$G$39)+Calculator!$J$8-$F$52,WA,4)))</f>
        <v>2064899.7908771392</v>
      </c>
      <c r="M52" s="198">
        <v>0</v>
      </c>
      <c r="N52" s="198">
        <v>0</v>
      </c>
      <c r="O52" s="149" t="s">
        <v>258</v>
      </c>
      <c r="P52" s="149" t="s">
        <v>258</v>
      </c>
      <c r="Q52" s="149" t="s">
        <v>258</v>
      </c>
    </row>
    <row r="53" spans="1:21" ht="15" customHeight="1">
      <c r="A53" s="195" t="s">
        <v>186</v>
      </c>
      <c r="B53" s="196">
        <v>-1</v>
      </c>
      <c r="C53" s="197" t="s">
        <v>187</v>
      </c>
      <c r="D53" s="195" t="s">
        <v>89</v>
      </c>
      <c r="E53" s="195"/>
      <c r="F53" s="198"/>
      <c r="G53" s="195"/>
      <c r="H53" s="195"/>
      <c r="I53" s="198"/>
      <c r="J53" s="199"/>
      <c r="K53" s="198">
        <v>0</v>
      </c>
      <c r="L53" s="198">
        <v>0</v>
      </c>
      <c r="M53" s="198">
        <v>0</v>
      </c>
      <c r="N53" s="198">
        <v>0</v>
      </c>
      <c r="O53" s="149" t="s">
        <v>258</v>
      </c>
      <c r="P53" s="149" t="s">
        <v>258</v>
      </c>
      <c r="Q53" s="149" t="s">
        <v>258</v>
      </c>
    </row>
    <row r="54" spans="1:21" ht="15" customHeight="1">
      <c r="A54" s="195" t="s">
        <v>188</v>
      </c>
      <c r="B54" s="196">
        <v>-1</v>
      </c>
      <c r="C54" s="197" t="s">
        <v>189</v>
      </c>
      <c r="D54" s="195" t="s">
        <v>89</v>
      </c>
      <c r="E54" s="195"/>
      <c r="F54" s="198"/>
      <c r="G54" s="195"/>
      <c r="H54" s="195"/>
      <c r="I54" s="198"/>
      <c r="J54" s="199"/>
      <c r="K54" s="198">
        <v>0</v>
      </c>
      <c r="L54" s="198">
        <v>0</v>
      </c>
      <c r="M54" s="198">
        <v>0</v>
      </c>
      <c r="N54" s="198">
        <v>0</v>
      </c>
      <c r="O54" s="149" t="s">
        <v>258</v>
      </c>
      <c r="P54" s="149" t="s">
        <v>258</v>
      </c>
      <c r="Q54" s="149" t="s">
        <v>258</v>
      </c>
    </row>
    <row r="55" spans="1:21" ht="15" customHeight="1">
      <c r="A55" s="195" t="s">
        <v>190</v>
      </c>
      <c r="B55" s="196">
        <v>-1</v>
      </c>
      <c r="C55" s="197" t="s">
        <v>191</v>
      </c>
      <c r="D55" s="195" t="s">
        <v>89</v>
      </c>
      <c r="E55" s="195"/>
      <c r="F55" s="198"/>
      <c r="G55" s="195"/>
      <c r="H55" s="195"/>
      <c r="I55" s="198"/>
      <c r="J55" s="199"/>
      <c r="K55" s="198">
        <v>0</v>
      </c>
      <c r="L55" s="198">
        <v>0</v>
      </c>
      <c r="M55" s="198">
        <v>0</v>
      </c>
      <c r="N55" s="198">
        <v>0</v>
      </c>
      <c r="O55" s="149" t="s">
        <v>258</v>
      </c>
      <c r="P55" s="149" t="s">
        <v>258</v>
      </c>
      <c r="Q55" s="149" t="s">
        <v>258</v>
      </c>
    </row>
    <row r="56" spans="1:21" ht="3.75" customHeight="1"/>
    <row r="57" spans="1:21">
      <c r="A57" s="156" t="s">
        <v>301</v>
      </c>
    </row>
    <row r="58" spans="1:21">
      <c r="A58" s="156" t="s">
        <v>300</v>
      </c>
    </row>
    <row r="59" spans="1:21">
      <c r="A59" s="156" t="s">
        <v>233</v>
      </c>
    </row>
    <row r="60" spans="1:21">
      <c r="A60" s="156" t="s">
        <v>307</v>
      </c>
    </row>
    <row r="61" spans="1:21" ht="12.75" customHeight="1">
      <c r="A61" s="298" t="s">
        <v>329</v>
      </c>
    </row>
    <row r="62" spans="1:21" ht="3.75" customHeight="1">
      <c r="A62" s="298"/>
    </row>
    <row r="64" spans="1:21" ht="12">
      <c r="C64" s="170" t="s">
        <v>259</v>
      </c>
    </row>
    <row r="65" spans="3:10" ht="20">
      <c r="C65" s="161" t="s">
        <v>251</v>
      </c>
      <c r="D65" s="162" t="s">
        <v>252</v>
      </c>
      <c r="E65" s="162" t="s">
        <v>253</v>
      </c>
      <c r="F65" s="163" t="s">
        <v>268</v>
      </c>
    </row>
    <row r="66" spans="3:10">
      <c r="C66" s="164">
        <v>0</v>
      </c>
      <c r="D66" s="165">
        <v>3500000</v>
      </c>
      <c r="E66" s="165">
        <v>0</v>
      </c>
      <c r="F66" s="166">
        <v>0</v>
      </c>
    </row>
    <row r="67" spans="3:10">
      <c r="C67" s="164">
        <v>3500000</v>
      </c>
      <c r="D67" s="165">
        <v>3600000</v>
      </c>
      <c r="E67" s="165">
        <v>0</v>
      </c>
      <c r="F67" s="166">
        <v>7.1999999999999995E-2</v>
      </c>
    </row>
    <row r="68" spans="3:10">
      <c r="C68" s="164">
        <v>3600000</v>
      </c>
      <c r="D68" s="165">
        <v>4100000</v>
      </c>
      <c r="E68" s="165">
        <v>7200</v>
      </c>
      <c r="F68" s="166">
        <v>7.8E-2</v>
      </c>
    </row>
    <row r="69" spans="3:10">
      <c r="C69" s="164">
        <v>4100000</v>
      </c>
      <c r="D69" s="165">
        <v>5100000</v>
      </c>
      <c r="E69" s="165">
        <v>46200</v>
      </c>
      <c r="F69" s="166">
        <v>8.4000000000000005E-2</v>
      </c>
    </row>
    <row r="70" spans="3:10">
      <c r="C70" s="164">
        <v>5100000</v>
      </c>
      <c r="D70" s="165">
        <v>6100000</v>
      </c>
      <c r="E70" s="165">
        <v>130200</v>
      </c>
      <c r="F70" s="166">
        <v>0.09</v>
      </c>
    </row>
    <row r="71" spans="3:10">
      <c r="C71" s="164">
        <v>6100000</v>
      </c>
      <c r="D71" s="165">
        <v>7100000</v>
      </c>
      <c r="E71" s="165">
        <v>220200</v>
      </c>
      <c r="F71" s="166">
        <v>9.6000000000000002E-2</v>
      </c>
    </row>
    <row r="72" spans="3:10">
      <c r="C72" s="164">
        <v>7100000</v>
      </c>
      <c r="D72" s="165">
        <v>8100000</v>
      </c>
      <c r="E72" s="165">
        <v>316200</v>
      </c>
      <c r="F72" s="166">
        <v>0.10199999999999999</v>
      </c>
    </row>
    <row r="73" spans="3:10">
      <c r="C73" s="164">
        <v>8100000</v>
      </c>
      <c r="D73" s="165">
        <v>9100000</v>
      </c>
      <c r="E73" s="165">
        <v>418200</v>
      </c>
      <c r="F73" s="166">
        <v>0.108</v>
      </c>
    </row>
    <row r="74" spans="3:10">
      <c r="C74" s="164">
        <v>9100000</v>
      </c>
      <c r="D74" s="165">
        <v>10100000</v>
      </c>
      <c r="E74" s="165">
        <v>526200</v>
      </c>
      <c r="F74" s="166">
        <v>0.114</v>
      </c>
    </row>
    <row r="75" spans="3:10">
      <c r="C75" s="167">
        <v>10100000</v>
      </c>
      <c r="D75" s="168" t="s">
        <v>227</v>
      </c>
      <c r="E75" s="168">
        <v>640200</v>
      </c>
      <c r="F75" s="169">
        <v>0.12</v>
      </c>
    </row>
    <row r="78" spans="3:10" ht="12">
      <c r="C78" s="170" t="s">
        <v>241</v>
      </c>
      <c r="F78" s="171">
        <v>100000</v>
      </c>
      <c r="H78" s="171">
        <v>500</v>
      </c>
      <c r="J78" s="183">
        <v>100</v>
      </c>
    </row>
    <row r="79" spans="3:10" ht="30">
      <c r="C79" s="172" t="s">
        <v>216</v>
      </c>
      <c r="D79" s="173"/>
      <c r="E79" s="174" t="s">
        <v>273</v>
      </c>
      <c r="F79" s="174" t="s">
        <v>274</v>
      </c>
      <c r="G79" s="174" t="s">
        <v>275</v>
      </c>
      <c r="H79" s="174" t="s">
        <v>276</v>
      </c>
      <c r="I79" s="175" t="s">
        <v>277</v>
      </c>
      <c r="J79" s="188" t="s">
        <v>305</v>
      </c>
    </row>
    <row r="80" spans="3:10">
      <c r="C80" s="176">
        <v>0</v>
      </c>
      <c r="D80" s="165">
        <v>25000</v>
      </c>
      <c r="E80" s="165">
        <v>0</v>
      </c>
      <c r="F80" s="177">
        <v>0.01</v>
      </c>
      <c r="G80" s="165">
        <v>0</v>
      </c>
      <c r="H80" s="177">
        <v>7.0000000000000007E-2</v>
      </c>
      <c r="I80" s="165">
        <v>0</v>
      </c>
      <c r="J80" s="268">
        <v>0.1</v>
      </c>
    </row>
    <row r="81" spans="3:10">
      <c r="C81" s="176">
        <v>25000</v>
      </c>
      <c r="D81" s="165">
        <v>50000</v>
      </c>
      <c r="E81" s="165">
        <v>250</v>
      </c>
      <c r="F81" s="177">
        <v>0.02</v>
      </c>
      <c r="G81" s="165">
        <v>1750</v>
      </c>
      <c r="H81" s="177">
        <v>7.0000000000000007E-2</v>
      </c>
      <c r="I81" s="165">
        <v>2500</v>
      </c>
      <c r="J81" s="268">
        <v>0.1</v>
      </c>
    </row>
    <row r="82" spans="3:10">
      <c r="C82" s="176">
        <v>50000</v>
      </c>
      <c r="D82" s="165">
        <v>100000</v>
      </c>
      <c r="E82" s="165">
        <v>750</v>
      </c>
      <c r="F82" s="177">
        <v>0.03</v>
      </c>
      <c r="G82" s="165">
        <v>3500</v>
      </c>
      <c r="H82" s="177">
        <v>7.0000000000000007E-2</v>
      </c>
      <c r="I82" s="165">
        <v>5000</v>
      </c>
      <c r="J82" s="268">
        <v>0.1</v>
      </c>
    </row>
    <row r="83" spans="3:10">
      <c r="C83" s="176">
        <v>100000</v>
      </c>
      <c r="D83" s="165">
        <v>200000</v>
      </c>
      <c r="E83" s="165">
        <v>2250</v>
      </c>
      <c r="F83" s="177">
        <v>0.03</v>
      </c>
      <c r="G83" s="165">
        <v>7000</v>
      </c>
      <c r="H83" s="177">
        <v>0.1</v>
      </c>
      <c r="I83" s="165">
        <v>10000</v>
      </c>
      <c r="J83" s="268">
        <v>0.15</v>
      </c>
    </row>
    <row r="84" spans="3:10">
      <c r="C84" s="176">
        <v>200000</v>
      </c>
      <c r="D84" s="165">
        <v>300000</v>
      </c>
      <c r="E84" s="165">
        <v>5250</v>
      </c>
      <c r="F84" s="177">
        <v>0.04</v>
      </c>
      <c r="G84" s="165">
        <v>17000</v>
      </c>
      <c r="H84" s="177">
        <v>0.1</v>
      </c>
      <c r="I84" s="165">
        <v>25000</v>
      </c>
      <c r="J84" s="268">
        <v>0.15</v>
      </c>
    </row>
    <row r="85" spans="3:10">
      <c r="C85" s="176">
        <v>300000</v>
      </c>
      <c r="D85" s="165">
        <v>500000</v>
      </c>
      <c r="E85" s="165">
        <v>9250</v>
      </c>
      <c r="F85" s="177">
        <v>0.05</v>
      </c>
      <c r="G85" s="165">
        <v>27000</v>
      </c>
      <c r="H85" s="177">
        <v>0.1</v>
      </c>
      <c r="I85" s="165">
        <v>40000</v>
      </c>
      <c r="J85" s="268">
        <v>0.15</v>
      </c>
    </row>
    <row r="86" spans="3:10">
      <c r="C86" s="176">
        <v>500000</v>
      </c>
      <c r="D86" s="165">
        <v>700000</v>
      </c>
      <c r="E86" s="165">
        <v>19250</v>
      </c>
      <c r="F86" s="177">
        <v>0.06</v>
      </c>
      <c r="G86" s="165">
        <v>47000</v>
      </c>
      <c r="H86" s="177">
        <v>0.12</v>
      </c>
      <c r="I86" s="165">
        <v>70000</v>
      </c>
      <c r="J86" s="268">
        <v>0.15</v>
      </c>
    </row>
    <row r="87" spans="3:10">
      <c r="C87" s="176">
        <v>700000</v>
      </c>
      <c r="D87" s="165">
        <v>1000000</v>
      </c>
      <c r="E87" s="165">
        <v>31250</v>
      </c>
      <c r="F87" s="177">
        <v>7.0000000000000007E-2</v>
      </c>
      <c r="G87" s="165">
        <v>71000</v>
      </c>
      <c r="H87" s="177">
        <v>0.12</v>
      </c>
      <c r="I87" s="165">
        <v>100000</v>
      </c>
      <c r="J87" s="268">
        <v>0.15</v>
      </c>
    </row>
    <row r="88" spans="3:10">
      <c r="C88" s="176">
        <v>1000000</v>
      </c>
      <c r="D88" s="165">
        <v>1500000</v>
      </c>
      <c r="E88" s="165">
        <v>52250</v>
      </c>
      <c r="F88" s="177">
        <v>0.08</v>
      </c>
      <c r="G88" s="165">
        <v>107000</v>
      </c>
      <c r="H88" s="177">
        <v>0.15</v>
      </c>
      <c r="I88" s="165">
        <v>145000</v>
      </c>
      <c r="J88" s="268">
        <v>0.2</v>
      </c>
    </row>
    <row r="89" spans="3:10">
      <c r="C89" s="178">
        <v>1500000</v>
      </c>
      <c r="D89" s="179" t="s">
        <v>227</v>
      </c>
      <c r="E89" s="179">
        <v>92250</v>
      </c>
      <c r="F89" s="180">
        <v>0.1</v>
      </c>
      <c r="G89" s="179">
        <v>182000</v>
      </c>
      <c r="H89" s="180">
        <v>0.15</v>
      </c>
      <c r="I89" s="179">
        <v>245000</v>
      </c>
      <c r="J89" s="269">
        <v>0.2</v>
      </c>
    </row>
    <row r="90" spans="3:10">
      <c r="J90" s="157"/>
    </row>
    <row r="91" spans="3:10" ht="12">
      <c r="C91" s="170" t="s">
        <v>249</v>
      </c>
      <c r="E91" s="181">
        <v>0</v>
      </c>
      <c r="F91" s="181"/>
      <c r="G91" s="181">
        <v>0</v>
      </c>
      <c r="H91" s="182"/>
      <c r="I91" s="183">
        <v>0</v>
      </c>
      <c r="J91" s="157"/>
    </row>
    <row r="92" spans="3:10" ht="20">
      <c r="C92" s="381" t="s">
        <v>216</v>
      </c>
      <c r="D92" s="382"/>
      <c r="E92" s="174" t="s">
        <v>228</v>
      </c>
      <c r="F92" s="174" t="s">
        <v>229</v>
      </c>
      <c r="G92" s="174" t="s">
        <v>223</v>
      </c>
      <c r="H92" s="174" t="s">
        <v>224</v>
      </c>
      <c r="I92" s="175" t="s">
        <v>225</v>
      </c>
      <c r="J92" s="188" t="s">
        <v>226</v>
      </c>
    </row>
    <row r="93" spans="3:10">
      <c r="C93" s="176">
        <v>0</v>
      </c>
      <c r="D93" s="165">
        <v>5000</v>
      </c>
      <c r="E93" s="165">
        <v>0</v>
      </c>
      <c r="F93" s="177">
        <v>0</v>
      </c>
      <c r="G93" s="165">
        <v>0</v>
      </c>
      <c r="H93" s="177">
        <v>0.05</v>
      </c>
      <c r="I93" s="165">
        <v>0</v>
      </c>
      <c r="J93" s="268">
        <v>0.1</v>
      </c>
    </row>
    <row r="94" spans="3:10">
      <c r="C94" s="176">
        <v>5000</v>
      </c>
      <c r="D94" s="165">
        <v>12500</v>
      </c>
      <c r="E94" s="165">
        <v>0</v>
      </c>
      <c r="F94" s="177">
        <v>0</v>
      </c>
      <c r="G94" s="165">
        <v>250</v>
      </c>
      <c r="H94" s="177">
        <v>0.05</v>
      </c>
      <c r="I94" s="165">
        <v>500</v>
      </c>
      <c r="J94" s="268">
        <v>0.1</v>
      </c>
    </row>
    <row r="95" spans="3:10">
      <c r="C95" s="176">
        <v>12500</v>
      </c>
      <c r="D95" s="165">
        <v>25000</v>
      </c>
      <c r="E95" s="165">
        <v>0</v>
      </c>
      <c r="F95" s="177">
        <v>0</v>
      </c>
      <c r="G95" s="165">
        <v>625</v>
      </c>
      <c r="H95" s="177">
        <v>0.06</v>
      </c>
      <c r="I95" s="165">
        <v>1250</v>
      </c>
      <c r="J95" s="268">
        <v>0.1</v>
      </c>
    </row>
    <row r="96" spans="3:10">
      <c r="C96" s="176">
        <v>25000</v>
      </c>
      <c r="D96" s="165">
        <v>50000</v>
      </c>
      <c r="E96" s="165">
        <v>0</v>
      </c>
      <c r="F96" s="177">
        <v>0</v>
      </c>
      <c r="G96" s="165">
        <v>1375</v>
      </c>
      <c r="H96" s="177">
        <v>7.0000000000000007E-2</v>
      </c>
      <c r="I96" s="165">
        <v>2500</v>
      </c>
      <c r="J96" s="268">
        <v>0.1</v>
      </c>
    </row>
    <row r="97" spans="3:10">
      <c r="C97" s="176">
        <v>50000</v>
      </c>
      <c r="D97" s="165">
        <v>75000</v>
      </c>
      <c r="E97" s="165">
        <v>0</v>
      </c>
      <c r="F97" s="177">
        <v>0</v>
      </c>
      <c r="G97" s="165">
        <v>3125</v>
      </c>
      <c r="H97" s="177">
        <v>7.0000000000000007E-2</v>
      </c>
      <c r="I97" s="165">
        <v>5000</v>
      </c>
      <c r="J97" s="268">
        <v>0.12</v>
      </c>
    </row>
    <row r="98" spans="3:10">
      <c r="C98" s="176">
        <v>75000</v>
      </c>
      <c r="D98" s="165">
        <v>100000</v>
      </c>
      <c r="E98" s="165">
        <v>0</v>
      </c>
      <c r="F98" s="177">
        <v>0</v>
      </c>
      <c r="G98" s="165">
        <v>4875</v>
      </c>
      <c r="H98" s="177">
        <v>0.08</v>
      </c>
      <c r="I98" s="165">
        <v>8000</v>
      </c>
      <c r="J98" s="268">
        <v>0.12</v>
      </c>
    </row>
    <row r="99" spans="3:10">
      <c r="C99" s="176">
        <v>100000</v>
      </c>
      <c r="D99" s="165">
        <v>150000</v>
      </c>
      <c r="E99" s="165">
        <v>0</v>
      </c>
      <c r="F99" s="177">
        <v>0</v>
      </c>
      <c r="G99" s="165">
        <v>6875</v>
      </c>
      <c r="H99" s="177">
        <v>0.09</v>
      </c>
      <c r="I99" s="165">
        <v>11000</v>
      </c>
      <c r="J99" s="268">
        <v>0.15</v>
      </c>
    </row>
    <row r="100" spans="3:10">
      <c r="C100" s="178">
        <v>150000</v>
      </c>
      <c r="D100" s="179" t="s">
        <v>227</v>
      </c>
      <c r="E100" s="179">
        <v>0</v>
      </c>
      <c r="F100" s="180">
        <v>0</v>
      </c>
      <c r="G100" s="179">
        <v>11375</v>
      </c>
      <c r="H100" s="180">
        <v>0.1</v>
      </c>
      <c r="I100" s="179">
        <v>18500</v>
      </c>
      <c r="J100" s="269">
        <v>0.15</v>
      </c>
    </row>
    <row r="101" spans="3:10">
      <c r="E101" s="184"/>
      <c r="F101" s="185"/>
      <c r="J101" s="157"/>
    </row>
    <row r="102" spans="3:10">
      <c r="J102" s="157"/>
    </row>
    <row r="103" spans="3:10" ht="12">
      <c r="C103" s="170" t="s">
        <v>240</v>
      </c>
      <c r="G103" s="181">
        <v>1000</v>
      </c>
      <c r="H103" s="186" t="s">
        <v>232</v>
      </c>
      <c r="I103" s="183">
        <v>500</v>
      </c>
      <c r="J103" s="159" t="s">
        <v>232</v>
      </c>
    </row>
    <row r="104" spans="3:10" ht="20">
      <c r="C104" s="381" t="s">
        <v>216</v>
      </c>
      <c r="D104" s="382"/>
      <c r="E104" s="174" t="s">
        <v>217</v>
      </c>
      <c r="F104" s="174" t="s">
        <v>218</v>
      </c>
      <c r="G104" s="174" t="s">
        <v>219</v>
      </c>
      <c r="H104" s="174" t="s">
        <v>220</v>
      </c>
      <c r="I104" s="175" t="s">
        <v>221</v>
      </c>
      <c r="J104" s="188" t="s">
        <v>222</v>
      </c>
    </row>
    <row r="105" spans="3:10">
      <c r="C105" s="176">
        <v>0</v>
      </c>
      <c r="D105" s="165">
        <v>500</v>
      </c>
      <c r="E105" s="165">
        <v>0</v>
      </c>
      <c r="F105" s="177">
        <v>0</v>
      </c>
      <c r="G105" s="165">
        <v>0</v>
      </c>
      <c r="H105" s="177">
        <v>0.04</v>
      </c>
      <c r="I105" s="165">
        <v>0</v>
      </c>
      <c r="J105" s="268">
        <v>0.06</v>
      </c>
    </row>
    <row r="106" spans="3:10">
      <c r="C106" s="176">
        <v>500</v>
      </c>
      <c r="D106" s="165">
        <v>1000</v>
      </c>
      <c r="E106" s="165">
        <v>0</v>
      </c>
      <c r="F106" s="177">
        <v>0</v>
      </c>
      <c r="G106" s="165">
        <v>0</v>
      </c>
      <c r="H106" s="177">
        <v>0.04</v>
      </c>
      <c r="I106" s="165">
        <v>0</v>
      </c>
      <c r="J106" s="268">
        <v>0.06</v>
      </c>
    </row>
    <row r="107" spans="3:10">
      <c r="C107" s="176">
        <v>1000</v>
      </c>
      <c r="D107" s="165">
        <v>5000</v>
      </c>
      <c r="E107" s="165">
        <v>0</v>
      </c>
      <c r="F107" s="177">
        <v>0</v>
      </c>
      <c r="G107" s="165">
        <v>0</v>
      </c>
      <c r="H107" s="177">
        <v>0.04</v>
      </c>
      <c r="I107" s="165">
        <v>30</v>
      </c>
      <c r="J107" s="268">
        <v>0.06</v>
      </c>
    </row>
    <row r="108" spans="3:10">
      <c r="C108" s="176">
        <v>5000</v>
      </c>
      <c r="D108" s="165">
        <v>10000</v>
      </c>
      <c r="E108" s="165">
        <v>0</v>
      </c>
      <c r="F108" s="177">
        <v>0</v>
      </c>
      <c r="G108" s="165">
        <v>160</v>
      </c>
      <c r="H108" s="177">
        <v>0.04</v>
      </c>
      <c r="I108" s="165">
        <v>270</v>
      </c>
      <c r="J108" s="268">
        <v>0.06</v>
      </c>
    </row>
    <row r="109" spans="3:10">
      <c r="C109" s="176">
        <v>10000</v>
      </c>
      <c r="D109" s="165">
        <v>20000</v>
      </c>
      <c r="E109" s="165">
        <v>0</v>
      </c>
      <c r="F109" s="177">
        <v>0</v>
      </c>
      <c r="G109" s="165">
        <v>360</v>
      </c>
      <c r="H109" s="177">
        <v>0.05</v>
      </c>
      <c r="I109" s="165">
        <v>570</v>
      </c>
      <c r="J109" s="268">
        <v>0.08</v>
      </c>
    </row>
    <row r="110" spans="3:10">
      <c r="C110" s="176">
        <v>20000</v>
      </c>
      <c r="D110" s="165">
        <v>30000</v>
      </c>
      <c r="E110" s="165">
        <v>0</v>
      </c>
      <c r="F110" s="177">
        <v>0</v>
      </c>
      <c r="G110" s="165">
        <v>860</v>
      </c>
      <c r="H110" s="177">
        <v>0.06</v>
      </c>
      <c r="I110" s="165">
        <v>1370</v>
      </c>
      <c r="J110" s="268">
        <v>0.1</v>
      </c>
    </row>
    <row r="111" spans="3:10">
      <c r="C111" s="176">
        <v>30000</v>
      </c>
      <c r="D111" s="165">
        <v>40000</v>
      </c>
      <c r="E111" s="165">
        <v>0</v>
      </c>
      <c r="F111" s="177">
        <v>0</v>
      </c>
      <c r="G111" s="165">
        <v>1460</v>
      </c>
      <c r="H111" s="177">
        <v>0.08</v>
      </c>
      <c r="I111" s="165">
        <v>2370</v>
      </c>
      <c r="J111" s="268">
        <v>0.12</v>
      </c>
    </row>
    <row r="112" spans="3:10">
      <c r="C112" s="176">
        <v>40000</v>
      </c>
      <c r="D112" s="165">
        <v>50000</v>
      </c>
      <c r="E112" s="165">
        <v>0</v>
      </c>
      <c r="F112" s="177">
        <v>0</v>
      </c>
      <c r="G112" s="165">
        <v>2660</v>
      </c>
      <c r="H112" s="177">
        <v>0.1</v>
      </c>
      <c r="I112" s="165">
        <v>4170</v>
      </c>
      <c r="J112" s="268">
        <v>0.14000000000000001</v>
      </c>
    </row>
    <row r="113" spans="3:10">
      <c r="C113" s="176">
        <v>50000</v>
      </c>
      <c r="D113" s="165">
        <v>60000</v>
      </c>
      <c r="E113" s="165">
        <v>0</v>
      </c>
      <c r="F113" s="177">
        <v>0</v>
      </c>
      <c r="G113" s="165">
        <v>3160</v>
      </c>
      <c r="H113" s="177">
        <v>0.1</v>
      </c>
      <c r="I113" s="165">
        <v>4870</v>
      </c>
      <c r="J113" s="268">
        <v>0.14000000000000001</v>
      </c>
    </row>
    <row r="114" spans="3:10">
      <c r="C114" s="176">
        <v>60000</v>
      </c>
      <c r="D114" s="165">
        <v>100000</v>
      </c>
      <c r="E114" s="165">
        <v>0</v>
      </c>
      <c r="F114" s="177">
        <v>0</v>
      </c>
      <c r="G114" s="165">
        <v>4160</v>
      </c>
      <c r="H114" s="177">
        <v>0.12</v>
      </c>
      <c r="I114" s="165">
        <v>6270</v>
      </c>
      <c r="J114" s="268">
        <v>0.16</v>
      </c>
    </row>
    <row r="115" spans="3:10">
      <c r="C115" s="176">
        <v>100000</v>
      </c>
      <c r="D115" s="165">
        <v>200000</v>
      </c>
      <c r="E115" s="165">
        <v>0</v>
      </c>
      <c r="F115" s="177">
        <v>0</v>
      </c>
      <c r="G115" s="165">
        <v>8960</v>
      </c>
      <c r="H115" s="177">
        <v>0.14000000000000001</v>
      </c>
      <c r="I115" s="165">
        <v>12670</v>
      </c>
      <c r="J115" s="268">
        <v>0.16</v>
      </c>
    </row>
    <row r="116" spans="3:10">
      <c r="C116" s="176">
        <v>200000</v>
      </c>
      <c r="D116" s="165">
        <v>500000</v>
      </c>
      <c r="E116" s="165">
        <v>0</v>
      </c>
      <c r="F116" s="177">
        <v>0</v>
      </c>
      <c r="G116" s="165">
        <v>22960</v>
      </c>
      <c r="H116" s="177">
        <v>0.16</v>
      </c>
      <c r="I116" s="165">
        <v>28670</v>
      </c>
      <c r="J116" s="268">
        <v>0.16</v>
      </c>
    </row>
    <row r="117" spans="3:10">
      <c r="C117" s="178">
        <v>500000</v>
      </c>
      <c r="D117" s="179" t="s">
        <v>227</v>
      </c>
      <c r="E117" s="179">
        <v>0</v>
      </c>
      <c r="F117" s="180">
        <v>0</v>
      </c>
      <c r="G117" s="179">
        <v>70960</v>
      </c>
      <c r="H117" s="180">
        <v>0.16</v>
      </c>
      <c r="I117" s="179">
        <v>76670</v>
      </c>
      <c r="J117" s="269">
        <v>0.16</v>
      </c>
    </row>
    <row r="118" spans="3:10">
      <c r="J118" s="157"/>
    </row>
    <row r="119" spans="3:10">
      <c r="J119" s="157"/>
    </row>
    <row r="120" spans="3:10" ht="12">
      <c r="C120" s="170" t="s">
        <v>239</v>
      </c>
      <c r="F120" s="181">
        <f>40000</f>
        <v>40000</v>
      </c>
      <c r="G120" s="181">
        <f>15000</f>
        <v>15000</v>
      </c>
      <c r="H120" s="186" t="s">
        <v>232</v>
      </c>
      <c r="I120" s="183">
        <f>10000</f>
        <v>10000</v>
      </c>
      <c r="J120" s="159" t="s">
        <v>232</v>
      </c>
    </row>
    <row r="121" spans="3:10" ht="20">
      <c r="C121" s="383" t="s">
        <v>234</v>
      </c>
      <c r="D121" s="384"/>
      <c r="E121" s="174" t="s">
        <v>228</v>
      </c>
      <c r="F121" s="174" t="s">
        <v>229</v>
      </c>
      <c r="G121" s="174" t="s">
        <v>223</v>
      </c>
      <c r="H121" s="174" t="s">
        <v>224</v>
      </c>
      <c r="I121" s="175" t="s">
        <v>225</v>
      </c>
      <c r="J121" s="188" t="s">
        <v>226</v>
      </c>
    </row>
    <row r="122" spans="3:10">
      <c r="C122" s="176">
        <v>0</v>
      </c>
      <c r="D122" s="165">
        <v>10000</v>
      </c>
      <c r="E122" s="165">
        <v>0</v>
      </c>
      <c r="F122" s="187">
        <v>0</v>
      </c>
      <c r="G122" s="165">
        <v>0</v>
      </c>
      <c r="H122" s="187">
        <v>0</v>
      </c>
      <c r="I122" s="165">
        <v>0</v>
      </c>
      <c r="J122" s="268">
        <v>0</v>
      </c>
    </row>
    <row r="123" spans="3:10">
      <c r="C123" s="176">
        <v>10000</v>
      </c>
      <c r="D123" s="165">
        <v>15000</v>
      </c>
      <c r="E123" s="165">
        <v>0</v>
      </c>
      <c r="F123" s="187">
        <v>0</v>
      </c>
      <c r="G123" s="165">
        <v>0</v>
      </c>
      <c r="H123" s="187">
        <v>0</v>
      </c>
      <c r="I123" s="165">
        <v>0</v>
      </c>
      <c r="J123" s="268">
        <v>0.18</v>
      </c>
    </row>
    <row r="124" spans="3:10">
      <c r="C124" s="176">
        <v>15000</v>
      </c>
      <c r="D124" s="165">
        <v>40000</v>
      </c>
      <c r="E124" s="165">
        <v>0</v>
      </c>
      <c r="F124" s="187">
        <v>0</v>
      </c>
      <c r="G124" s="165">
        <v>0</v>
      </c>
      <c r="H124" s="177">
        <v>0.13</v>
      </c>
      <c r="I124" s="165">
        <v>900</v>
      </c>
      <c r="J124" s="268">
        <v>0.18</v>
      </c>
    </row>
    <row r="125" spans="3:10">
      <c r="C125" s="178">
        <v>40000</v>
      </c>
      <c r="D125" s="179" t="s">
        <v>235</v>
      </c>
      <c r="E125" s="179">
        <v>0</v>
      </c>
      <c r="F125" s="180">
        <v>0.01</v>
      </c>
      <c r="G125" s="179">
        <v>3250</v>
      </c>
      <c r="H125" s="180">
        <v>0.13</v>
      </c>
      <c r="I125" s="179">
        <v>5400</v>
      </c>
      <c r="J125" s="269">
        <v>0.18</v>
      </c>
    </row>
    <row r="126" spans="3:10">
      <c r="C126" s="149" t="s">
        <v>318</v>
      </c>
    </row>
    <row r="128" spans="3:10" ht="12">
      <c r="C128" s="256" t="s">
        <v>271</v>
      </c>
      <c r="D128" s="256"/>
      <c r="E128" s="256"/>
      <c r="F128" s="181">
        <v>0</v>
      </c>
      <c r="G128" s="181">
        <v>0</v>
      </c>
      <c r="H128" s="182"/>
      <c r="I128" s="183">
        <v>0</v>
      </c>
    </row>
    <row r="129" spans="3:10" ht="20">
      <c r="C129" s="381" t="s">
        <v>216</v>
      </c>
      <c r="D129" s="382"/>
      <c r="E129" s="174" t="s">
        <v>228</v>
      </c>
      <c r="F129" s="174" t="s">
        <v>229</v>
      </c>
      <c r="G129" s="174" t="s">
        <v>223</v>
      </c>
      <c r="H129" s="174" t="s">
        <v>224</v>
      </c>
      <c r="I129" s="175" t="s">
        <v>225</v>
      </c>
      <c r="J129" s="188" t="s">
        <v>226</v>
      </c>
    </row>
    <row r="130" spans="3:10">
      <c r="C130" s="176">
        <v>0</v>
      </c>
      <c r="D130" s="165">
        <v>25000</v>
      </c>
      <c r="E130" s="165">
        <v>0</v>
      </c>
      <c r="F130" s="177">
        <v>0</v>
      </c>
      <c r="G130" s="165">
        <v>0</v>
      </c>
      <c r="H130" s="177">
        <v>0</v>
      </c>
      <c r="I130" s="165">
        <v>0</v>
      </c>
      <c r="J130" s="268">
        <v>0.15</v>
      </c>
    </row>
    <row r="131" spans="3:10">
      <c r="C131" s="176">
        <v>25000</v>
      </c>
      <c r="D131" s="165">
        <v>700000</v>
      </c>
      <c r="E131" s="165">
        <v>0</v>
      </c>
      <c r="F131" s="177">
        <v>0</v>
      </c>
      <c r="G131" s="165">
        <f>$C131*H130</f>
        <v>0</v>
      </c>
      <c r="H131" s="177">
        <v>0.11</v>
      </c>
      <c r="I131" s="165">
        <f>$C131*J130</f>
        <v>3750</v>
      </c>
      <c r="J131" s="268">
        <v>0.15</v>
      </c>
    </row>
    <row r="132" spans="3:10">
      <c r="C132" s="176">
        <v>700000</v>
      </c>
      <c r="D132" s="165">
        <v>1100000</v>
      </c>
      <c r="E132" s="165">
        <v>0</v>
      </c>
      <c r="F132" s="177">
        <v>0</v>
      </c>
      <c r="G132" s="165">
        <v>74250</v>
      </c>
      <c r="H132" s="177">
        <v>0.11</v>
      </c>
      <c r="I132" s="165">
        <v>105000</v>
      </c>
      <c r="J132" s="268">
        <v>0.16</v>
      </c>
    </row>
    <row r="133" spans="3:10">
      <c r="C133" s="176">
        <v>1100000</v>
      </c>
      <c r="D133" s="165">
        <v>1400000</v>
      </c>
      <c r="E133" s="165">
        <v>0</v>
      </c>
      <c r="F133" s="177">
        <v>0</v>
      </c>
      <c r="G133" s="165">
        <v>118250</v>
      </c>
      <c r="H133" s="177">
        <v>0.13</v>
      </c>
      <c r="I133" s="165">
        <v>169000</v>
      </c>
      <c r="J133" s="268">
        <v>0.16</v>
      </c>
    </row>
    <row r="134" spans="3:10">
      <c r="C134" s="176">
        <v>1400000</v>
      </c>
      <c r="D134" s="165">
        <v>1700000</v>
      </c>
      <c r="E134" s="165">
        <v>0</v>
      </c>
      <c r="F134" s="177">
        <v>0</v>
      </c>
      <c r="G134" s="165">
        <v>157250</v>
      </c>
      <c r="H134" s="177">
        <v>0.14000000000000001</v>
      </c>
      <c r="I134" s="165">
        <v>217000</v>
      </c>
      <c r="J134" s="268">
        <v>0.16</v>
      </c>
    </row>
    <row r="135" spans="3:10">
      <c r="C135" s="178">
        <v>1700000</v>
      </c>
      <c r="D135" s="179" t="s">
        <v>227</v>
      </c>
      <c r="E135" s="179">
        <v>0</v>
      </c>
      <c r="F135" s="180">
        <v>0</v>
      </c>
      <c r="G135" s="179">
        <v>199250</v>
      </c>
      <c r="H135" s="180">
        <v>0.16</v>
      </c>
      <c r="I135" s="179">
        <v>265000</v>
      </c>
      <c r="J135" s="269">
        <v>0.16</v>
      </c>
    </row>
    <row r="138" spans="3:10" ht="12">
      <c r="C138" s="170" t="s">
        <v>285</v>
      </c>
    </row>
    <row r="139" spans="3:10">
      <c r="C139" s="381" t="s">
        <v>243</v>
      </c>
      <c r="D139" s="382"/>
      <c r="E139" s="174" t="s">
        <v>244</v>
      </c>
      <c r="F139" s="188" t="s">
        <v>245</v>
      </c>
    </row>
    <row r="140" spans="3:10">
      <c r="C140" s="176">
        <v>0</v>
      </c>
      <c r="D140" s="165">
        <v>338333</v>
      </c>
      <c r="E140" s="165">
        <v>0</v>
      </c>
      <c r="F140" s="189">
        <v>0</v>
      </c>
    </row>
    <row r="141" spans="3:10">
      <c r="C141" s="176">
        <v>338333</v>
      </c>
      <c r="D141" s="165">
        <v>500000</v>
      </c>
      <c r="E141" s="165">
        <v>0</v>
      </c>
      <c r="F141" s="189">
        <v>0.06</v>
      </c>
    </row>
    <row r="142" spans="3:10">
      <c r="C142" s="178">
        <v>500000</v>
      </c>
      <c r="D142" s="179" t="s">
        <v>227</v>
      </c>
      <c r="E142" s="179">
        <f>(500000-338333)*0.06</f>
        <v>9700.02</v>
      </c>
      <c r="F142" s="190">
        <v>7.0000000000000007E-2</v>
      </c>
    </row>
    <row r="145" spans="3:6" ht="12">
      <c r="C145" s="170" t="s">
        <v>250</v>
      </c>
      <c r="F145" s="157">
        <v>1000000</v>
      </c>
    </row>
    <row r="146" spans="3:6" ht="24" customHeight="1">
      <c r="C146" s="381" t="s">
        <v>243</v>
      </c>
      <c r="D146" s="382"/>
      <c r="E146" s="174" t="s">
        <v>244</v>
      </c>
      <c r="F146" s="188" t="s">
        <v>245</v>
      </c>
    </row>
    <row r="147" spans="3:6">
      <c r="C147" s="176">
        <v>0</v>
      </c>
      <c r="D147" s="165">
        <v>40000</v>
      </c>
      <c r="E147" s="165">
        <v>0</v>
      </c>
      <c r="F147" s="189">
        <v>5.5E-2</v>
      </c>
    </row>
    <row r="148" spans="3:6">
      <c r="C148" s="176">
        <v>40000</v>
      </c>
      <c r="D148" s="165">
        <v>240000</v>
      </c>
      <c r="E148" s="165">
        <v>2200</v>
      </c>
      <c r="F148" s="189">
        <v>6.5000000000000002E-2</v>
      </c>
    </row>
    <row r="149" spans="3:6">
      <c r="C149" s="176">
        <v>240000</v>
      </c>
      <c r="D149" s="165">
        <v>440000</v>
      </c>
      <c r="E149" s="165">
        <v>15200</v>
      </c>
      <c r="F149" s="189">
        <v>7.4999999999999997E-2</v>
      </c>
    </row>
    <row r="150" spans="3:6">
      <c r="C150" s="178">
        <v>440000</v>
      </c>
      <c r="D150" s="179" t="s">
        <v>227</v>
      </c>
      <c r="E150" s="179">
        <v>30200</v>
      </c>
      <c r="F150" s="190">
        <v>9.5000000000000001E-2</v>
      </c>
    </row>
    <row r="153" spans="3:6" ht="12">
      <c r="C153" s="170" t="s">
        <v>263</v>
      </c>
    </row>
    <row r="154" spans="3:6" ht="20">
      <c r="C154" s="161" t="s">
        <v>251</v>
      </c>
      <c r="D154" s="162" t="s">
        <v>252</v>
      </c>
      <c r="E154" s="162" t="s">
        <v>253</v>
      </c>
      <c r="F154" s="163" t="s">
        <v>268</v>
      </c>
    </row>
    <row r="155" spans="3:6">
      <c r="C155" s="164">
        <v>0</v>
      </c>
      <c r="D155" s="165">
        <v>1000000</v>
      </c>
      <c r="E155" s="165">
        <v>0</v>
      </c>
      <c r="F155" s="191">
        <v>0.1</v>
      </c>
    </row>
    <row r="156" spans="3:6">
      <c r="C156" s="164">
        <v>1000000</v>
      </c>
      <c r="D156" s="165">
        <v>2000000</v>
      </c>
      <c r="E156" s="165">
        <v>100000</v>
      </c>
      <c r="F156" s="191">
        <v>0.14000000000000001</v>
      </c>
    </row>
    <row r="157" spans="3:6">
      <c r="C157" s="164">
        <v>2000000</v>
      </c>
      <c r="D157" s="165">
        <v>3000000</v>
      </c>
      <c r="E157" s="165">
        <v>240000</v>
      </c>
      <c r="F157" s="191">
        <v>0.15</v>
      </c>
    </row>
    <row r="158" spans="3:6">
      <c r="C158" s="164">
        <v>3000000</v>
      </c>
      <c r="D158" s="165">
        <v>4000000</v>
      </c>
      <c r="E158" s="165">
        <v>390000</v>
      </c>
      <c r="F158" s="191">
        <v>0.16</v>
      </c>
    </row>
    <row r="159" spans="3:6">
      <c r="C159" s="164">
        <v>4000000</v>
      </c>
      <c r="D159" s="165">
        <v>6000000</v>
      </c>
      <c r="E159" s="165">
        <v>550000</v>
      </c>
      <c r="F159" s="191">
        <v>0.17</v>
      </c>
    </row>
    <row r="160" spans="3:6">
      <c r="C160" s="164">
        <v>6000000</v>
      </c>
      <c r="D160" s="165">
        <v>7000000</v>
      </c>
      <c r="E160" s="165">
        <v>890000</v>
      </c>
      <c r="F160" s="191">
        <v>0.18</v>
      </c>
    </row>
    <row r="161" spans="3:6">
      <c r="C161" s="164">
        <v>7000000</v>
      </c>
      <c r="D161" s="165">
        <v>9000000</v>
      </c>
      <c r="E161" s="165">
        <v>1070000</v>
      </c>
      <c r="F161" s="192">
        <v>0.185</v>
      </c>
    </row>
    <row r="162" spans="3:6">
      <c r="C162" s="167">
        <v>9000000</v>
      </c>
      <c r="D162" s="168" t="s">
        <v>227</v>
      </c>
      <c r="E162" s="168">
        <v>1440000</v>
      </c>
      <c r="F162" s="193">
        <v>0.19</v>
      </c>
    </row>
    <row r="165" spans="3:6">
      <c r="D165" s="149"/>
      <c r="E165" s="149"/>
      <c r="F165" s="149"/>
    </row>
    <row r="166" spans="3:6">
      <c r="D166" s="149"/>
      <c r="E166" s="149"/>
      <c r="F166" s="149"/>
    </row>
    <row r="167" spans="3:6">
      <c r="D167" s="149"/>
      <c r="E167" s="149"/>
      <c r="F167" s="149"/>
    </row>
    <row r="168" spans="3:6">
      <c r="D168" s="149"/>
      <c r="E168" s="149"/>
      <c r="F168" s="149"/>
    </row>
    <row r="169" spans="3:6">
      <c r="D169" s="149"/>
      <c r="E169" s="149"/>
      <c r="F169" s="149"/>
    </row>
    <row r="170" spans="3:6">
      <c r="D170" s="149"/>
      <c r="E170" s="149"/>
      <c r="F170" s="149"/>
    </row>
    <row r="171" spans="3:6">
      <c r="D171" s="149"/>
      <c r="E171" s="149"/>
      <c r="F171" s="149"/>
    </row>
    <row r="172" spans="3:6">
      <c r="D172" s="149"/>
      <c r="E172" s="149"/>
      <c r="F172" s="149"/>
    </row>
    <row r="173" spans="3:6">
      <c r="D173" s="149"/>
      <c r="E173" s="149"/>
      <c r="F173" s="149"/>
    </row>
    <row r="174" spans="3:6">
      <c r="D174" s="149"/>
      <c r="E174" s="149"/>
      <c r="F174" s="149"/>
    </row>
    <row r="175" spans="3:6">
      <c r="D175" s="149"/>
      <c r="E175" s="149"/>
      <c r="F175" s="149"/>
    </row>
    <row r="176" spans="3:6">
      <c r="D176" s="149"/>
      <c r="E176" s="149"/>
      <c r="F176" s="149"/>
    </row>
    <row r="179" spans="4:6">
      <c r="D179" s="149"/>
      <c r="E179" s="149"/>
      <c r="F179" s="149"/>
    </row>
    <row r="180" spans="4:6">
      <c r="D180" s="149"/>
      <c r="E180" s="149"/>
      <c r="F180" s="149"/>
    </row>
    <row r="181" spans="4:6">
      <c r="D181" s="149"/>
      <c r="E181" s="149"/>
      <c r="F181" s="149"/>
    </row>
    <row r="182" spans="4:6">
      <c r="D182" s="149"/>
      <c r="E182" s="149"/>
      <c r="F182" s="149"/>
    </row>
    <row r="183" spans="4:6">
      <c r="D183" s="149"/>
      <c r="E183" s="149"/>
      <c r="F183" s="149"/>
    </row>
  </sheetData>
  <sheetProtection password="D977" sheet="1" objects="1" scenarios="1" selectLockedCells="1" selectUnlockedCells="1"/>
  <mergeCells count="10">
    <mergeCell ref="A1:N1"/>
    <mergeCell ref="A2:N2"/>
    <mergeCell ref="C139:D139"/>
    <mergeCell ref="C121:D121"/>
    <mergeCell ref="C146:D146"/>
    <mergeCell ref="C92:D92"/>
    <mergeCell ref="C104:D104"/>
    <mergeCell ref="A3:C3"/>
    <mergeCell ref="C129:D129"/>
    <mergeCell ref="A4:N4"/>
  </mergeCells>
  <pageMargins left="0.5" right="0.5" top="0.5" bottom="0.4" header="0.3" footer="0.3"/>
  <pageSetup orientation="landscape"/>
  <headerFooter>
    <oddFooter>&amp;C&amp;"Gill Sans,Regular"&amp;6Supplemental Page</oddFooter>
  </headerFooter>
  <rowBreaks count="1" manualBreakCount="1">
    <brk id="102" max="16383" man="1"/>
  </rowBreaks>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J37"/>
  <sheetViews>
    <sheetView showGridLines="0" showRowColHeaders="0" zoomScale="85" zoomScaleNormal="85" zoomScalePageLayoutView="85" workbookViewId="0">
      <selection activeCell="C6" sqref="C6"/>
    </sheetView>
  </sheetViews>
  <sheetFormatPr baseColWidth="10" defaultColWidth="8.7109375" defaultRowHeight="15" x14ac:dyDescent="0"/>
  <cols>
    <col min="1" max="1" width="2.42578125" style="28" customWidth="1"/>
    <col min="2" max="2" width="39.42578125" style="28" customWidth="1"/>
    <col min="3" max="3" width="15.28515625" style="28" customWidth="1"/>
    <col min="4" max="4" width="12.7109375" style="28" customWidth="1"/>
    <col min="5" max="5" width="12.140625" style="28" customWidth="1"/>
    <col min="6" max="6" width="11.42578125" style="28" customWidth="1"/>
    <col min="7" max="16384" width="8.7109375" style="28"/>
  </cols>
  <sheetData>
    <row r="1" spans="1:10" ht="24" customHeight="1">
      <c r="A1" s="399" t="s">
        <v>50</v>
      </c>
      <c r="B1" s="400"/>
      <c r="C1" s="400"/>
      <c r="D1" s="400"/>
      <c r="E1" s="401"/>
      <c r="F1" s="26"/>
      <c r="G1" s="27"/>
      <c r="H1" s="27"/>
      <c r="I1" s="27"/>
      <c r="J1" s="27"/>
    </row>
    <row r="2" spans="1:10" ht="13.5" customHeight="1">
      <c r="A2" s="417" t="s">
        <v>332</v>
      </c>
      <c r="B2" s="418"/>
      <c r="C2" s="418"/>
      <c r="D2" s="418"/>
      <c r="E2" s="419"/>
      <c r="F2" s="26"/>
      <c r="G2" s="27"/>
      <c r="H2" s="27"/>
      <c r="I2" s="27"/>
      <c r="J2" s="27"/>
    </row>
    <row r="3" spans="1:10" ht="4.5" customHeight="1">
      <c r="A3" s="29"/>
      <c r="B3" s="29"/>
      <c r="G3" s="27"/>
      <c r="H3" s="27"/>
      <c r="I3" s="27"/>
      <c r="J3" s="27"/>
    </row>
    <row r="4" spans="1:10" ht="22.5" customHeight="1">
      <c r="A4" s="414" t="s">
        <v>48</v>
      </c>
      <c r="B4" s="412"/>
      <c r="C4" s="412" t="s">
        <v>57</v>
      </c>
      <c r="D4" s="412"/>
      <c r="E4" s="413"/>
      <c r="G4" s="27"/>
      <c r="H4" s="27"/>
      <c r="I4" s="27"/>
      <c r="J4" s="27"/>
    </row>
    <row r="5" spans="1:10" ht="4.5" customHeight="1">
      <c r="A5" s="29"/>
      <c r="B5" s="29"/>
      <c r="G5" s="27"/>
      <c r="H5" s="27"/>
      <c r="I5" s="27"/>
      <c r="J5" s="27"/>
    </row>
    <row r="6" spans="1:10" ht="20.25" customHeight="1">
      <c r="A6" s="28" t="s">
        <v>76</v>
      </c>
      <c r="C6" s="39" t="s">
        <v>51</v>
      </c>
      <c r="D6" s="250" t="s">
        <v>215</v>
      </c>
      <c r="E6" s="31"/>
    </row>
    <row r="7" spans="1:10" ht="20.25" customHeight="1">
      <c r="A7" s="28" t="s">
        <v>59</v>
      </c>
      <c r="C7" s="33" t="s">
        <v>39</v>
      </c>
      <c r="D7" s="251"/>
      <c r="E7" s="252"/>
    </row>
    <row r="8" spans="1:10" ht="20.25" customHeight="1">
      <c r="A8" s="28" t="s">
        <v>54</v>
      </c>
      <c r="C8" s="31"/>
      <c r="D8" s="415" t="s">
        <v>46</v>
      </c>
      <c r="E8" s="416"/>
    </row>
    <row r="9" spans="1:10" ht="20.25" customHeight="1">
      <c r="A9" s="28" t="s">
        <v>53</v>
      </c>
      <c r="C9" s="31"/>
      <c r="D9" s="415" t="s">
        <v>46</v>
      </c>
      <c r="E9" s="416"/>
    </row>
    <row r="10" spans="1:10" ht="20.25" customHeight="1">
      <c r="A10" s="28" t="s">
        <v>38</v>
      </c>
      <c r="C10" s="33" t="s">
        <v>39</v>
      </c>
      <c r="D10" s="251"/>
      <c r="E10" s="252"/>
    </row>
    <row r="11" spans="1:10" ht="20.25" customHeight="1">
      <c r="A11" s="28" t="s">
        <v>60</v>
      </c>
      <c r="C11" s="32" t="b">
        <v>1</v>
      </c>
      <c r="D11" s="253" t="s">
        <v>55</v>
      </c>
      <c r="E11" s="252"/>
    </row>
    <row r="12" spans="1:10" ht="20.25" customHeight="1">
      <c r="A12" s="28" t="s">
        <v>45</v>
      </c>
      <c r="C12" s="39" t="s">
        <v>51</v>
      </c>
      <c r="D12" s="254"/>
      <c r="E12" s="252"/>
      <c r="F12" s="24"/>
    </row>
    <row r="13" spans="1:10" ht="24" customHeight="1">
      <c r="A13" s="43" t="s">
        <v>61</v>
      </c>
      <c r="B13" s="30"/>
      <c r="C13" s="32" t="b">
        <v>1</v>
      </c>
      <c r="D13" s="255" t="s">
        <v>44</v>
      </c>
      <c r="E13" s="255" t="s">
        <v>40</v>
      </c>
    </row>
    <row r="14" spans="1:10" ht="20.25" customHeight="1">
      <c r="A14" s="28" t="s">
        <v>43</v>
      </c>
      <c r="C14" s="34" t="s">
        <v>41</v>
      </c>
      <c r="D14" s="25" t="b">
        <v>1</v>
      </c>
      <c r="E14" s="25" t="b">
        <v>1</v>
      </c>
    </row>
    <row r="15" spans="1:10" ht="20.25" customHeight="1">
      <c r="A15" s="28" t="s">
        <v>37</v>
      </c>
      <c r="C15" s="34" t="s">
        <v>41</v>
      </c>
      <c r="D15" s="25" t="b">
        <v>0</v>
      </c>
      <c r="E15" s="25" t="b">
        <v>0</v>
      </c>
    </row>
    <row r="16" spans="1:10" ht="20.25" customHeight="1">
      <c r="A16" s="28" t="s">
        <v>36</v>
      </c>
      <c r="C16" s="34" t="s">
        <v>41</v>
      </c>
      <c r="D16" s="42"/>
      <c r="E16" s="44"/>
    </row>
    <row r="17" spans="1:10" ht="20.25" customHeight="1">
      <c r="A17" s="47" t="s">
        <v>79</v>
      </c>
      <c r="C17" s="252"/>
      <c r="D17" s="251"/>
      <c r="E17" s="252"/>
    </row>
    <row r="18" spans="1:10" ht="20.25" customHeight="1">
      <c r="A18" s="407" t="s">
        <v>56</v>
      </c>
      <c r="B18" s="30" t="s">
        <v>63</v>
      </c>
      <c r="C18" s="33"/>
      <c r="D18" s="410" t="s">
        <v>62</v>
      </c>
      <c r="E18" s="411"/>
      <c r="J18" s="28" t="s">
        <v>35</v>
      </c>
    </row>
    <row r="19" spans="1:10" ht="20.25" customHeight="1">
      <c r="A19" s="408"/>
      <c r="B19" s="30" t="s">
        <v>64</v>
      </c>
      <c r="C19" s="32" t="b">
        <v>0</v>
      </c>
      <c r="D19" s="410"/>
      <c r="E19" s="411"/>
    </row>
    <row r="20" spans="1:10" ht="20.25" customHeight="1">
      <c r="A20" s="408"/>
      <c r="B20" s="30" t="s">
        <v>77</v>
      </c>
      <c r="C20" s="39" t="s">
        <v>51</v>
      </c>
      <c r="D20" s="410"/>
      <c r="E20" s="411"/>
    </row>
    <row r="21" spans="1:10" ht="20.25" customHeight="1">
      <c r="A21" s="409"/>
      <c r="B21" s="30" t="s">
        <v>78</v>
      </c>
      <c r="C21" s="33" t="s">
        <v>39</v>
      </c>
      <c r="D21" s="410"/>
      <c r="E21" s="411"/>
    </row>
    <row r="22" spans="1:10" ht="20.25" customHeight="1">
      <c r="A22" s="28" t="s">
        <v>80</v>
      </c>
      <c r="C22" s="32" t="b">
        <v>1</v>
      </c>
      <c r="D22" s="253" t="s">
        <v>55</v>
      </c>
      <c r="E22" s="252"/>
    </row>
    <row r="23" spans="1:10" ht="20.25" customHeight="1">
      <c r="A23" s="28" t="s">
        <v>58</v>
      </c>
      <c r="C23" s="33" t="s">
        <v>39</v>
      </c>
      <c r="D23" s="402"/>
      <c r="E23" s="403"/>
    </row>
    <row r="24" spans="1:10" ht="7.5" customHeight="1"/>
    <row r="25" spans="1:10" ht="23.25" customHeight="1">
      <c r="A25" s="404" t="s">
        <v>52</v>
      </c>
      <c r="B25" s="405"/>
      <c r="C25" s="405"/>
      <c r="D25" s="405"/>
      <c r="E25" s="406"/>
    </row>
    <row r="26" spans="1:10" ht="7.5" customHeight="1">
      <c r="A26" s="36"/>
      <c r="B26" s="36"/>
      <c r="C26" s="35"/>
      <c r="D26" s="35"/>
      <c r="E26" s="35"/>
    </row>
    <row r="27" spans="1:10" ht="23.25" customHeight="1">
      <c r="A27" s="404" t="s">
        <v>47</v>
      </c>
      <c r="B27" s="405"/>
      <c r="C27" s="405"/>
      <c r="D27" s="405"/>
      <c r="E27" s="406"/>
    </row>
    <row r="28" spans="1:10" ht="7.5" customHeight="1"/>
    <row r="29" spans="1:10" ht="23.25" customHeight="1">
      <c r="A29" s="390" t="s">
        <v>42</v>
      </c>
      <c r="B29" s="391"/>
      <c r="C29" s="391"/>
      <c r="D29" s="391"/>
      <c r="E29" s="392"/>
    </row>
    <row r="30" spans="1:10" ht="13.5" customHeight="1">
      <c r="A30" s="393"/>
      <c r="B30" s="394"/>
      <c r="C30" s="394"/>
      <c r="D30" s="394"/>
      <c r="E30" s="395"/>
    </row>
    <row r="31" spans="1:10" ht="13.5" customHeight="1">
      <c r="A31" s="393"/>
      <c r="B31" s="394"/>
      <c r="C31" s="394"/>
      <c r="D31" s="394"/>
      <c r="E31" s="395"/>
    </row>
    <row r="32" spans="1:10" ht="13.5" customHeight="1">
      <c r="A32" s="393"/>
      <c r="B32" s="394"/>
      <c r="C32" s="394"/>
      <c r="D32" s="394"/>
      <c r="E32" s="395"/>
    </row>
    <row r="33" spans="1:5" ht="13.5" customHeight="1">
      <c r="A33" s="393"/>
      <c r="B33" s="394"/>
      <c r="C33" s="394"/>
      <c r="D33" s="394"/>
      <c r="E33" s="395"/>
    </row>
    <row r="34" spans="1:5" ht="13.5" customHeight="1">
      <c r="A34" s="393"/>
      <c r="B34" s="394"/>
      <c r="C34" s="394"/>
      <c r="D34" s="394"/>
      <c r="E34" s="395"/>
    </row>
    <row r="35" spans="1:5" ht="13.5" customHeight="1">
      <c r="A35" s="396"/>
      <c r="B35" s="397"/>
      <c r="C35" s="397"/>
      <c r="D35" s="397"/>
      <c r="E35" s="398"/>
    </row>
    <row r="36" spans="1:5" ht="36" customHeight="1">
      <c r="A36" s="41" t="s">
        <v>330</v>
      </c>
      <c r="B36" s="40"/>
      <c r="C36" s="40"/>
      <c r="D36" s="40"/>
      <c r="E36" s="40"/>
    </row>
    <row r="37" spans="1:5" ht="15.75" customHeight="1">
      <c r="A37" s="37" t="s">
        <v>269</v>
      </c>
      <c r="B37" s="37"/>
      <c r="E37" s="38"/>
    </row>
  </sheetData>
  <sheetProtection password="D977" sheet="1" objects="1" scenarios="1" selectLockedCells="1"/>
  <mergeCells count="12">
    <mergeCell ref="A29:E35"/>
    <mergeCell ref="A1:E1"/>
    <mergeCell ref="D23:E23"/>
    <mergeCell ref="A25:E25"/>
    <mergeCell ref="A27:E27"/>
    <mergeCell ref="A18:A21"/>
    <mergeCell ref="D18:E21"/>
    <mergeCell ref="C4:E4"/>
    <mergeCell ref="A4:B4"/>
    <mergeCell ref="D8:E8"/>
    <mergeCell ref="D9:E9"/>
    <mergeCell ref="A2:E2"/>
  </mergeCells>
  <pageMargins left="0.7" right="0.7" top="0.75" bottom="0.4" header="0.3" footer="0.3"/>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locked="0" defaultSize="0" autoFill="0" autoLine="0" autoPict="0">
                <anchor moveWithCells="1">
                  <from>
                    <xdr:col>2</xdr:col>
                    <xdr:colOff>685800</xdr:colOff>
                    <xdr:row>12</xdr:row>
                    <xdr:rowOff>38100</xdr:rowOff>
                  </from>
                  <to>
                    <xdr:col>2</xdr:col>
                    <xdr:colOff>1257300</xdr:colOff>
                    <xdr:row>12</xdr:row>
                    <xdr:rowOff>393700</xdr:rowOff>
                  </to>
                </anchor>
              </controlPr>
            </control>
          </mc:Choice>
          <mc:Fallback/>
        </mc:AlternateContent>
        <mc:AlternateContent xmlns:mc="http://schemas.openxmlformats.org/markup-compatibility/2006">
          <mc:Choice Requires="x14">
            <control shapeId="3075" r:id="rId4" name="Check Box 3">
              <controlPr locked="0" defaultSize="0" autoFill="0" autoLine="0" autoPict="0">
                <anchor moveWithCells="1">
                  <from>
                    <xdr:col>2</xdr:col>
                    <xdr:colOff>698500</xdr:colOff>
                    <xdr:row>10</xdr:row>
                    <xdr:rowOff>0</xdr:rowOff>
                  </from>
                  <to>
                    <xdr:col>2</xdr:col>
                    <xdr:colOff>1270000</xdr:colOff>
                    <xdr:row>11</xdr:row>
                    <xdr:rowOff>12700</xdr:rowOff>
                  </to>
                </anchor>
              </controlPr>
            </control>
          </mc:Choice>
          <mc:Fallback/>
        </mc:AlternateContent>
        <mc:AlternateContent xmlns:mc="http://schemas.openxmlformats.org/markup-compatibility/2006">
          <mc:Choice Requires="x14">
            <control shapeId="3076" r:id="rId5" name="Check Box 4">
              <controlPr locked="0" defaultSize="0" autoFill="0" autoLine="0" autoPict="0">
                <anchor moveWithCells="1">
                  <from>
                    <xdr:col>4</xdr:col>
                    <xdr:colOff>469900</xdr:colOff>
                    <xdr:row>13</xdr:row>
                    <xdr:rowOff>12700</xdr:rowOff>
                  </from>
                  <to>
                    <xdr:col>4</xdr:col>
                    <xdr:colOff>1041400</xdr:colOff>
                    <xdr:row>14</xdr:row>
                    <xdr:rowOff>25400</xdr:rowOff>
                  </to>
                </anchor>
              </controlPr>
            </control>
          </mc:Choice>
          <mc:Fallback/>
        </mc:AlternateContent>
        <mc:AlternateContent xmlns:mc="http://schemas.openxmlformats.org/markup-compatibility/2006">
          <mc:Choice Requires="x14">
            <control shapeId="3077" r:id="rId6" name="Check Box 5">
              <controlPr locked="0" defaultSize="0" autoFill="0" autoLine="0" autoPict="0">
                <anchor moveWithCells="1">
                  <from>
                    <xdr:col>4</xdr:col>
                    <xdr:colOff>457200</xdr:colOff>
                    <xdr:row>13</xdr:row>
                    <xdr:rowOff>330200</xdr:rowOff>
                  </from>
                  <to>
                    <xdr:col>4</xdr:col>
                    <xdr:colOff>1028700</xdr:colOff>
                    <xdr:row>15</xdr:row>
                    <xdr:rowOff>0</xdr:rowOff>
                  </to>
                </anchor>
              </controlPr>
            </control>
          </mc:Choice>
          <mc:Fallback/>
        </mc:AlternateContent>
        <mc:AlternateContent xmlns:mc="http://schemas.openxmlformats.org/markup-compatibility/2006">
          <mc:Choice Requires="x14">
            <control shapeId="3078" r:id="rId7" name="Check Box 6">
              <controlPr locked="0" defaultSize="0" autoFill="0" autoLine="0" autoPict="0">
                <anchor moveWithCells="1">
                  <from>
                    <xdr:col>4</xdr:col>
                    <xdr:colOff>469900</xdr:colOff>
                    <xdr:row>15</xdr:row>
                    <xdr:rowOff>0</xdr:rowOff>
                  </from>
                  <to>
                    <xdr:col>4</xdr:col>
                    <xdr:colOff>1041400</xdr:colOff>
                    <xdr:row>16</xdr:row>
                    <xdr:rowOff>12700</xdr:rowOff>
                  </to>
                </anchor>
              </controlPr>
            </control>
          </mc:Choice>
          <mc:Fallback/>
        </mc:AlternateContent>
        <mc:AlternateContent xmlns:mc="http://schemas.openxmlformats.org/markup-compatibility/2006">
          <mc:Choice Requires="x14">
            <control shapeId="3079" r:id="rId8" name="Check Box 7">
              <controlPr locked="0" defaultSize="0" autoFill="0" autoLine="0" autoPict="0">
                <anchor moveWithCells="1">
                  <from>
                    <xdr:col>2</xdr:col>
                    <xdr:colOff>711200</xdr:colOff>
                    <xdr:row>16</xdr:row>
                    <xdr:rowOff>330200</xdr:rowOff>
                  </from>
                  <to>
                    <xdr:col>2</xdr:col>
                    <xdr:colOff>1282700</xdr:colOff>
                    <xdr:row>18</xdr:row>
                    <xdr:rowOff>0</xdr:rowOff>
                  </to>
                </anchor>
              </controlPr>
            </control>
          </mc:Choice>
          <mc:Fallback/>
        </mc:AlternateContent>
        <mc:AlternateContent xmlns:mc="http://schemas.openxmlformats.org/markup-compatibility/2006">
          <mc:Choice Requires="x14">
            <control shapeId="3092" r:id="rId9" name="Check Box 20">
              <controlPr locked="0" defaultSize="0" autoFill="0" autoLine="0" autoPict="0">
                <anchor moveWithCells="1">
                  <from>
                    <xdr:col>3</xdr:col>
                    <xdr:colOff>482600</xdr:colOff>
                    <xdr:row>13</xdr:row>
                    <xdr:rowOff>12700</xdr:rowOff>
                  </from>
                  <to>
                    <xdr:col>3</xdr:col>
                    <xdr:colOff>1066800</xdr:colOff>
                    <xdr:row>14</xdr:row>
                    <xdr:rowOff>25400</xdr:rowOff>
                  </to>
                </anchor>
              </controlPr>
            </control>
          </mc:Choice>
          <mc:Fallback/>
        </mc:AlternateContent>
        <mc:AlternateContent xmlns:mc="http://schemas.openxmlformats.org/markup-compatibility/2006">
          <mc:Choice Requires="x14">
            <control shapeId="3093" r:id="rId10" name="Check Box 21">
              <controlPr locked="0" defaultSize="0" autoFill="0" autoLine="0" autoPict="0">
                <anchor moveWithCells="1">
                  <from>
                    <xdr:col>3</xdr:col>
                    <xdr:colOff>482600</xdr:colOff>
                    <xdr:row>13</xdr:row>
                    <xdr:rowOff>330200</xdr:rowOff>
                  </from>
                  <to>
                    <xdr:col>3</xdr:col>
                    <xdr:colOff>1066800</xdr:colOff>
                    <xdr:row>15</xdr:row>
                    <xdr:rowOff>0</xdr:rowOff>
                  </to>
                </anchor>
              </controlPr>
            </control>
          </mc:Choice>
          <mc:Fallback/>
        </mc:AlternateContent>
        <mc:AlternateContent xmlns:mc="http://schemas.openxmlformats.org/markup-compatibility/2006">
          <mc:Choice Requires="x14">
            <control shapeId="3094" r:id="rId11" name="Check Box 22">
              <controlPr locked="0" defaultSize="0" autoFill="0" autoLine="0" autoPict="0">
                <anchor moveWithCells="1">
                  <from>
                    <xdr:col>3</xdr:col>
                    <xdr:colOff>482600</xdr:colOff>
                    <xdr:row>15</xdr:row>
                    <xdr:rowOff>0</xdr:rowOff>
                  </from>
                  <to>
                    <xdr:col>3</xdr:col>
                    <xdr:colOff>1066800</xdr:colOff>
                    <xdr:row>16</xdr:row>
                    <xdr:rowOff>12700</xdr:rowOff>
                  </to>
                </anchor>
              </controlPr>
            </control>
          </mc:Choice>
          <mc:Fallback/>
        </mc:AlternateContent>
        <mc:AlternateContent xmlns:mc="http://schemas.openxmlformats.org/markup-compatibility/2006">
          <mc:Choice Requires="x14">
            <control shapeId="3097" r:id="rId12" name="Check Box 25">
              <controlPr locked="0" defaultSize="0" autoFill="0" autoLine="0" autoPict="0">
                <anchor moveWithCells="1">
                  <from>
                    <xdr:col>2</xdr:col>
                    <xdr:colOff>711200</xdr:colOff>
                    <xdr:row>17</xdr:row>
                    <xdr:rowOff>330200</xdr:rowOff>
                  </from>
                  <to>
                    <xdr:col>2</xdr:col>
                    <xdr:colOff>1282700</xdr:colOff>
                    <xdr:row>19</xdr:row>
                    <xdr:rowOff>0</xdr:rowOff>
                  </to>
                </anchor>
              </controlPr>
            </control>
          </mc:Choice>
          <mc:Fallback/>
        </mc:AlternateContent>
        <mc:AlternateContent xmlns:mc="http://schemas.openxmlformats.org/markup-compatibility/2006">
          <mc:Choice Requires="x14">
            <control shapeId="3100" r:id="rId13" name="Check Box 28">
              <controlPr locked="0" defaultSize="0" autoFill="0" autoLine="0" autoPict="0">
                <anchor moveWithCells="1">
                  <from>
                    <xdr:col>2</xdr:col>
                    <xdr:colOff>698500</xdr:colOff>
                    <xdr:row>10</xdr:row>
                    <xdr:rowOff>0</xdr:rowOff>
                  </from>
                  <to>
                    <xdr:col>2</xdr:col>
                    <xdr:colOff>1270000</xdr:colOff>
                    <xdr:row>11</xdr:row>
                    <xdr:rowOff>12700</xdr:rowOff>
                  </to>
                </anchor>
              </controlPr>
            </control>
          </mc:Choice>
          <mc:Fallback/>
        </mc:AlternateContent>
        <mc:AlternateContent xmlns:mc="http://schemas.openxmlformats.org/markup-compatibility/2006">
          <mc:Choice Requires="x14">
            <control shapeId="2" r:id="rId14" name="Check Box 29">
              <controlPr locked="0" defaultSize="0" autoFill="0" autoLine="0" autoPict="0">
                <anchor moveWithCells="1">
                  <from>
                    <xdr:col>2</xdr:col>
                    <xdr:colOff>711200</xdr:colOff>
                    <xdr:row>21</xdr:row>
                    <xdr:rowOff>0</xdr:rowOff>
                  </from>
                  <to>
                    <xdr:col>2</xdr:col>
                    <xdr:colOff>1282700</xdr:colOff>
                    <xdr:row>22</xdr:row>
                    <xdr:rowOff>12700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showRowColHeaders="0" workbookViewId="0">
      <selection activeCell="C16" sqref="C16"/>
    </sheetView>
  </sheetViews>
  <sheetFormatPr baseColWidth="10" defaultColWidth="8.7109375" defaultRowHeight="14" x14ac:dyDescent="0"/>
  <cols>
    <col min="1" max="1" width="5.140625" style="15" customWidth="1"/>
    <col min="2" max="2" width="7.5703125" style="15" customWidth="1"/>
    <col min="3" max="3" width="14.5703125" style="15" customWidth="1"/>
    <col min="4" max="5" width="14.5703125" style="20" customWidth="1"/>
    <col min="6" max="6" width="7.5703125" style="17" customWidth="1"/>
    <col min="7" max="16384" width="8.7109375" style="17"/>
  </cols>
  <sheetData>
    <row r="1" spans="1:6" ht="19.5" customHeight="1">
      <c r="A1" s="45" t="s">
        <v>68</v>
      </c>
    </row>
    <row r="2" spans="1:6" ht="14.25" customHeight="1">
      <c r="B2" s="21"/>
      <c r="C2" s="22"/>
      <c r="D2" s="420" t="s">
        <v>70</v>
      </c>
      <c r="E2" s="421"/>
      <c r="F2" s="22"/>
    </row>
    <row r="3" spans="1:6" ht="14.25" customHeight="1">
      <c r="B3" s="23" t="s">
        <v>25</v>
      </c>
      <c r="C3" s="23" t="s">
        <v>71</v>
      </c>
      <c r="D3" s="46" t="s">
        <v>74</v>
      </c>
      <c r="E3" s="46" t="s">
        <v>73</v>
      </c>
      <c r="F3" s="23" t="s">
        <v>26</v>
      </c>
    </row>
    <row r="4" spans="1:6" ht="11.25" customHeight="1">
      <c r="A4" s="231"/>
      <c r="B4" s="231"/>
      <c r="C4" s="232">
        <f>Calculator!$E$6</f>
        <v>0.05</v>
      </c>
      <c r="D4" s="232">
        <f>Calculator!$E$13</f>
        <v>0.03</v>
      </c>
      <c r="E4" s="232">
        <f>Calculator!$E$13</f>
        <v>0.03</v>
      </c>
      <c r="F4" s="233"/>
    </row>
    <row r="5" spans="1:6">
      <c r="A5" s="231">
        <v>0</v>
      </c>
      <c r="B5" s="231">
        <f>Calculator!$J$6</f>
        <v>2011</v>
      </c>
      <c r="C5" s="234">
        <f>Calculator!$E$5</f>
        <v>10000000</v>
      </c>
      <c r="D5" s="235">
        <f>Calculator!J7</f>
        <v>5000000</v>
      </c>
      <c r="E5" s="236">
        <f>Calculator!$E$12</f>
        <v>3500000</v>
      </c>
      <c r="F5" s="237">
        <v>0.35</v>
      </c>
    </row>
    <row r="6" spans="1:6">
      <c r="A6" s="231">
        <f>+A5+1</f>
        <v>1</v>
      </c>
      <c r="B6" s="231">
        <f>+B5+1</f>
        <v>2012</v>
      </c>
      <c r="C6" s="236">
        <f>(C5*(1+$C$4))</f>
        <v>10500000</v>
      </c>
      <c r="D6" s="236">
        <f t="shared" ref="D6:D50" si="0">ROUND($D$5*(1+$D$4)^A6,-4)</f>
        <v>5150000</v>
      </c>
      <c r="E6" s="236">
        <f>ROUND($E$5*(1+$E$4)^A6,-4)</f>
        <v>3610000</v>
      </c>
      <c r="F6" s="237">
        <f>IF(B6=2013,Calculator!$E$14,0.35)</f>
        <v>0.35</v>
      </c>
    </row>
    <row r="7" spans="1:6">
      <c r="A7" s="231">
        <f t="shared" ref="A7:A50" si="1">+A6+1</f>
        <v>2</v>
      </c>
      <c r="B7" s="231">
        <f t="shared" ref="B7:B13" si="2">+B6+1</f>
        <v>2013</v>
      </c>
      <c r="C7" s="236">
        <f t="shared" ref="C7:C50" si="3">(C6*(1+$C$4))</f>
        <v>11025000</v>
      </c>
      <c r="D7" s="236">
        <f t="shared" si="0"/>
        <v>5300000</v>
      </c>
      <c r="E7" s="236">
        <f t="shared" ref="E7:E50" si="4">ROUND($E$5*(1+$E$4)^A7,-4)</f>
        <v>3710000</v>
      </c>
      <c r="F7" s="237">
        <f>Calculator!$E$14</f>
        <v>0.45</v>
      </c>
    </row>
    <row r="8" spans="1:6">
      <c r="A8" s="231">
        <f t="shared" si="1"/>
        <v>3</v>
      </c>
      <c r="B8" s="231">
        <f t="shared" si="2"/>
        <v>2014</v>
      </c>
      <c r="C8" s="236">
        <f t="shared" si="3"/>
        <v>11576250</v>
      </c>
      <c r="D8" s="236">
        <f t="shared" si="0"/>
        <v>5460000</v>
      </c>
      <c r="E8" s="236">
        <f t="shared" si="4"/>
        <v>3820000</v>
      </c>
      <c r="F8" s="237">
        <f>Calculator!$E$14</f>
        <v>0.45</v>
      </c>
    </row>
    <row r="9" spans="1:6">
      <c r="A9" s="231">
        <f t="shared" si="1"/>
        <v>4</v>
      </c>
      <c r="B9" s="231">
        <f t="shared" si="2"/>
        <v>2015</v>
      </c>
      <c r="C9" s="236">
        <f t="shared" si="3"/>
        <v>12155062.5</v>
      </c>
      <c r="D9" s="236">
        <f t="shared" si="0"/>
        <v>5630000</v>
      </c>
      <c r="E9" s="236">
        <f t="shared" si="4"/>
        <v>3940000</v>
      </c>
      <c r="F9" s="237">
        <f>Calculator!$E$14</f>
        <v>0.45</v>
      </c>
    </row>
    <row r="10" spans="1:6">
      <c r="A10" s="238">
        <f t="shared" si="1"/>
        <v>5</v>
      </c>
      <c r="B10" s="238">
        <f t="shared" si="2"/>
        <v>2016</v>
      </c>
      <c r="C10" s="239">
        <f t="shared" si="3"/>
        <v>12762815.625</v>
      </c>
      <c r="D10" s="239">
        <f t="shared" si="0"/>
        <v>5800000</v>
      </c>
      <c r="E10" s="239">
        <f t="shared" si="4"/>
        <v>4060000</v>
      </c>
      <c r="F10" s="240">
        <f>Calculator!$E$14</f>
        <v>0.45</v>
      </c>
    </row>
    <row r="11" spans="1:6">
      <c r="A11" s="231">
        <f t="shared" si="1"/>
        <v>6</v>
      </c>
      <c r="B11" s="231">
        <f t="shared" si="2"/>
        <v>2017</v>
      </c>
      <c r="C11" s="236">
        <f t="shared" si="3"/>
        <v>13400956.40625</v>
      </c>
      <c r="D11" s="236">
        <f t="shared" si="0"/>
        <v>5970000</v>
      </c>
      <c r="E11" s="236">
        <f t="shared" si="4"/>
        <v>4180000</v>
      </c>
      <c r="F11" s="237">
        <f>Calculator!$E$14</f>
        <v>0.45</v>
      </c>
    </row>
    <row r="12" spans="1:6">
      <c r="A12" s="231">
        <f t="shared" si="1"/>
        <v>7</v>
      </c>
      <c r="B12" s="231">
        <f t="shared" si="2"/>
        <v>2018</v>
      </c>
      <c r="C12" s="236">
        <f t="shared" si="3"/>
        <v>14071004.2265625</v>
      </c>
      <c r="D12" s="236">
        <f t="shared" si="0"/>
        <v>6150000</v>
      </c>
      <c r="E12" s="236">
        <f t="shared" si="4"/>
        <v>4300000</v>
      </c>
      <c r="F12" s="237">
        <f>Calculator!$E$14</f>
        <v>0.45</v>
      </c>
    </row>
    <row r="13" spans="1:6">
      <c r="A13" s="231">
        <f t="shared" si="1"/>
        <v>8</v>
      </c>
      <c r="B13" s="231">
        <f t="shared" si="2"/>
        <v>2019</v>
      </c>
      <c r="C13" s="236">
        <f t="shared" si="3"/>
        <v>14774554.437890626</v>
      </c>
      <c r="D13" s="236">
        <f t="shared" si="0"/>
        <v>6330000</v>
      </c>
      <c r="E13" s="236">
        <f t="shared" si="4"/>
        <v>4430000</v>
      </c>
      <c r="F13" s="237">
        <f>Calculator!$E$14</f>
        <v>0.45</v>
      </c>
    </row>
    <row r="14" spans="1:6">
      <c r="A14" s="231">
        <f t="shared" si="1"/>
        <v>9</v>
      </c>
      <c r="B14" s="231">
        <f t="shared" ref="B14:B50" si="5">+B13+1</f>
        <v>2020</v>
      </c>
      <c r="C14" s="236">
        <f t="shared" si="3"/>
        <v>15513282.159785159</v>
      </c>
      <c r="D14" s="236">
        <f t="shared" si="0"/>
        <v>6520000</v>
      </c>
      <c r="E14" s="236">
        <f t="shared" si="4"/>
        <v>4570000</v>
      </c>
      <c r="F14" s="237">
        <f>Calculator!$E$14</f>
        <v>0.45</v>
      </c>
    </row>
    <row r="15" spans="1:6">
      <c r="A15" s="238">
        <f t="shared" si="1"/>
        <v>10</v>
      </c>
      <c r="B15" s="238">
        <f t="shared" si="5"/>
        <v>2021</v>
      </c>
      <c r="C15" s="239">
        <f t="shared" si="3"/>
        <v>16288946.267774418</v>
      </c>
      <c r="D15" s="239">
        <f t="shared" si="0"/>
        <v>6720000</v>
      </c>
      <c r="E15" s="239">
        <f t="shared" si="4"/>
        <v>4700000</v>
      </c>
      <c r="F15" s="240">
        <f>Calculator!$E$14</f>
        <v>0.45</v>
      </c>
    </row>
    <row r="16" spans="1:6">
      <c r="A16" s="231">
        <f t="shared" si="1"/>
        <v>11</v>
      </c>
      <c r="B16" s="231">
        <f t="shared" si="5"/>
        <v>2022</v>
      </c>
      <c r="C16" s="236">
        <f t="shared" si="3"/>
        <v>17103393.581163138</v>
      </c>
      <c r="D16" s="236">
        <f t="shared" si="0"/>
        <v>6920000</v>
      </c>
      <c r="E16" s="236">
        <f t="shared" si="4"/>
        <v>4840000</v>
      </c>
      <c r="F16" s="237">
        <f>Calculator!$E$14</f>
        <v>0.45</v>
      </c>
    </row>
    <row r="17" spans="1:6">
      <c r="A17" s="231">
        <f t="shared" si="1"/>
        <v>12</v>
      </c>
      <c r="B17" s="231">
        <f t="shared" si="5"/>
        <v>2023</v>
      </c>
      <c r="C17" s="236">
        <f t="shared" si="3"/>
        <v>17958563.260221295</v>
      </c>
      <c r="D17" s="236">
        <f t="shared" si="0"/>
        <v>7130000</v>
      </c>
      <c r="E17" s="236">
        <f t="shared" si="4"/>
        <v>4990000</v>
      </c>
      <c r="F17" s="237">
        <f>Calculator!$E$14</f>
        <v>0.45</v>
      </c>
    </row>
    <row r="18" spans="1:6">
      <c r="A18" s="231">
        <f t="shared" si="1"/>
        <v>13</v>
      </c>
      <c r="B18" s="231">
        <f t="shared" si="5"/>
        <v>2024</v>
      </c>
      <c r="C18" s="236">
        <f t="shared" si="3"/>
        <v>18856491.423232362</v>
      </c>
      <c r="D18" s="236">
        <f t="shared" si="0"/>
        <v>7340000</v>
      </c>
      <c r="E18" s="236">
        <f t="shared" si="4"/>
        <v>5140000</v>
      </c>
      <c r="F18" s="237">
        <f>Calculator!$E$14</f>
        <v>0.45</v>
      </c>
    </row>
    <row r="19" spans="1:6">
      <c r="A19" s="231">
        <f t="shared" si="1"/>
        <v>14</v>
      </c>
      <c r="B19" s="231">
        <f t="shared" si="5"/>
        <v>2025</v>
      </c>
      <c r="C19" s="236">
        <f t="shared" si="3"/>
        <v>19799315.994393982</v>
      </c>
      <c r="D19" s="236">
        <f t="shared" si="0"/>
        <v>7560000</v>
      </c>
      <c r="E19" s="236">
        <f t="shared" si="4"/>
        <v>5290000</v>
      </c>
      <c r="F19" s="237">
        <f>Calculator!$E$14</f>
        <v>0.45</v>
      </c>
    </row>
    <row r="20" spans="1:6">
      <c r="A20" s="238">
        <f t="shared" si="1"/>
        <v>15</v>
      </c>
      <c r="B20" s="238">
        <f t="shared" si="5"/>
        <v>2026</v>
      </c>
      <c r="C20" s="239">
        <f t="shared" si="3"/>
        <v>20789281.794113681</v>
      </c>
      <c r="D20" s="239">
        <f t="shared" si="0"/>
        <v>7790000</v>
      </c>
      <c r="E20" s="239">
        <f t="shared" si="4"/>
        <v>5450000</v>
      </c>
      <c r="F20" s="240">
        <f>Calculator!$E$14</f>
        <v>0.45</v>
      </c>
    </row>
    <row r="21" spans="1:6">
      <c r="A21" s="231">
        <f t="shared" si="1"/>
        <v>16</v>
      </c>
      <c r="B21" s="231">
        <f t="shared" si="5"/>
        <v>2027</v>
      </c>
      <c r="C21" s="236">
        <f t="shared" si="3"/>
        <v>21828745.883819364</v>
      </c>
      <c r="D21" s="236">
        <f t="shared" si="0"/>
        <v>8020000</v>
      </c>
      <c r="E21" s="236">
        <f t="shared" si="4"/>
        <v>5620000</v>
      </c>
      <c r="F21" s="237">
        <f>Calculator!$E$14</f>
        <v>0.45</v>
      </c>
    </row>
    <row r="22" spans="1:6">
      <c r="A22" s="231">
        <f t="shared" si="1"/>
        <v>17</v>
      </c>
      <c r="B22" s="231">
        <f t="shared" si="5"/>
        <v>2028</v>
      </c>
      <c r="C22" s="236">
        <f t="shared" si="3"/>
        <v>22920183.178010333</v>
      </c>
      <c r="D22" s="236">
        <f t="shared" si="0"/>
        <v>8260000</v>
      </c>
      <c r="E22" s="236">
        <f t="shared" si="4"/>
        <v>5780000</v>
      </c>
      <c r="F22" s="237">
        <f>Calculator!$E$14</f>
        <v>0.45</v>
      </c>
    </row>
    <row r="23" spans="1:6">
      <c r="A23" s="231">
        <f t="shared" si="1"/>
        <v>18</v>
      </c>
      <c r="B23" s="231">
        <f t="shared" si="5"/>
        <v>2029</v>
      </c>
      <c r="C23" s="236">
        <f t="shared" si="3"/>
        <v>24066192.336910851</v>
      </c>
      <c r="D23" s="236">
        <f t="shared" si="0"/>
        <v>8510000</v>
      </c>
      <c r="E23" s="236">
        <f t="shared" si="4"/>
        <v>5960000</v>
      </c>
      <c r="F23" s="237">
        <f>Calculator!$E$14</f>
        <v>0.45</v>
      </c>
    </row>
    <row r="24" spans="1:6">
      <c r="A24" s="231">
        <f t="shared" si="1"/>
        <v>19</v>
      </c>
      <c r="B24" s="231">
        <f t="shared" si="5"/>
        <v>2030</v>
      </c>
      <c r="C24" s="236">
        <f t="shared" si="3"/>
        <v>25269501.953756396</v>
      </c>
      <c r="D24" s="236">
        <f t="shared" si="0"/>
        <v>8770000</v>
      </c>
      <c r="E24" s="236">
        <f t="shared" si="4"/>
        <v>6140000</v>
      </c>
      <c r="F24" s="237">
        <f>Calculator!$E$14</f>
        <v>0.45</v>
      </c>
    </row>
    <row r="25" spans="1:6">
      <c r="A25" s="238">
        <f t="shared" si="1"/>
        <v>20</v>
      </c>
      <c r="B25" s="238">
        <f t="shared" si="5"/>
        <v>2031</v>
      </c>
      <c r="C25" s="239">
        <f t="shared" si="3"/>
        <v>26532977.051444218</v>
      </c>
      <c r="D25" s="239">
        <f t="shared" si="0"/>
        <v>9030000</v>
      </c>
      <c r="E25" s="239">
        <f t="shared" si="4"/>
        <v>6320000</v>
      </c>
      <c r="F25" s="240">
        <f>Calculator!$E$14</f>
        <v>0.45</v>
      </c>
    </row>
    <row r="26" spans="1:6">
      <c r="A26" s="231">
        <f t="shared" si="1"/>
        <v>21</v>
      </c>
      <c r="B26" s="231">
        <f t="shared" si="5"/>
        <v>2032</v>
      </c>
      <c r="C26" s="236">
        <f t="shared" si="3"/>
        <v>27859625.904016431</v>
      </c>
      <c r="D26" s="236">
        <f t="shared" si="0"/>
        <v>9300000</v>
      </c>
      <c r="E26" s="236">
        <f t="shared" si="4"/>
        <v>6510000</v>
      </c>
      <c r="F26" s="237">
        <f>Calculator!$E$14</f>
        <v>0.45</v>
      </c>
    </row>
    <row r="27" spans="1:6">
      <c r="A27" s="231">
        <f t="shared" si="1"/>
        <v>22</v>
      </c>
      <c r="B27" s="231">
        <f t="shared" si="5"/>
        <v>2033</v>
      </c>
      <c r="C27" s="236">
        <f t="shared" si="3"/>
        <v>29252607.199217252</v>
      </c>
      <c r="D27" s="236">
        <f t="shared" si="0"/>
        <v>9580000</v>
      </c>
      <c r="E27" s="236">
        <f t="shared" si="4"/>
        <v>6710000</v>
      </c>
      <c r="F27" s="237">
        <f>Calculator!$E$14</f>
        <v>0.45</v>
      </c>
    </row>
    <row r="28" spans="1:6">
      <c r="A28" s="231">
        <f t="shared" si="1"/>
        <v>23</v>
      </c>
      <c r="B28" s="231">
        <f t="shared" si="5"/>
        <v>2034</v>
      </c>
      <c r="C28" s="236">
        <f t="shared" si="3"/>
        <v>30715237.559178118</v>
      </c>
      <c r="D28" s="236">
        <f t="shared" si="0"/>
        <v>9870000</v>
      </c>
      <c r="E28" s="236">
        <f t="shared" si="4"/>
        <v>6910000</v>
      </c>
      <c r="F28" s="237">
        <f>Calculator!$E$14</f>
        <v>0.45</v>
      </c>
    </row>
    <row r="29" spans="1:6">
      <c r="A29" s="231">
        <f t="shared" si="1"/>
        <v>24</v>
      </c>
      <c r="B29" s="231">
        <f t="shared" si="5"/>
        <v>2035</v>
      </c>
      <c r="C29" s="236">
        <f t="shared" si="3"/>
        <v>32250999.437137026</v>
      </c>
      <c r="D29" s="236">
        <f t="shared" si="0"/>
        <v>10160000</v>
      </c>
      <c r="E29" s="236">
        <f t="shared" si="4"/>
        <v>7110000</v>
      </c>
      <c r="F29" s="237">
        <f>Calculator!$E$14</f>
        <v>0.45</v>
      </c>
    </row>
    <row r="30" spans="1:6">
      <c r="A30" s="238">
        <f t="shared" si="1"/>
        <v>25</v>
      </c>
      <c r="B30" s="238">
        <f t="shared" si="5"/>
        <v>2036</v>
      </c>
      <c r="C30" s="239">
        <f t="shared" si="3"/>
        <v>33863549.408993877</v>
      </c>
      <c r="D30" s="239">
        <f t="shared" si="0"/>
        <v>10470000</v>
      </c>
      <c r="E30" s="239">
        <f t="shared" si="4"/>
        <v>7330000</v>
      </c>
      <c r="F30" s="240">
        <f>Calculator!$E$14</f>
        <v>0.45</v>
      </c>
    </row>
    <row r="31" spans="1:6">
      <c r="A31" s="231">
        <f t="shared" si="1"/>
        <v>26</v>
      </c>
      <c r="B31" s="231">
        <f t="shared" si="5"/>
        <v>2037</v>
      </c>
      <c r="C31" s="236">
        <f t="shared" si="3"/>
        <v>35556726.879443571</v>
      </c>
      <c r="D31" s="236">
        <f t="shared" si="0"/>
        <v>10780000</v>
      </c>
      <c r="E31" s="236">
        <f t="shared" si="4"/>
        <v>7550000</v>
      </c>
      <c r="F31" s="237">
        <f>Calculator!$E$14</f>
        <v>0.45</v>
      </c>
    </row>
    <row r="32" spans="1:6">
      <c r="A32" s="231">
        <f t="shared" si="1"/>
        <v>27</v>
      </c>
      <c r="B32" s="231">
        <f t="shared" si="5"/>
        <v>2038</v>
      </c>
      <c r="C32" s="236">
        <f t="shared" si="3"/>
        <v>37334563.223415755</v>
      </c>
      <c r="D32" s="236">
        <f t="shared" si="0"/>
        <v>11110000</v>
      </c>
      <c r="E32" s="236">
        <f t="shared" si="4"/>
        <v>7770000</v>
      </c>
      <c r="F32" s="237">
        <f>Calculator!$E$14</f>
        <v>0.45</v>
      </c>
    </row>
    <row r="33" spans="1:6">
      <c r="A33" s="231">
        <f t="shared" si="1"/>
        <v>28</v>
      </c>
      <c r="B33" s="231">
        <f t="shared" si="5"/>
        <v>2039</v>
      </c>
      <c r="C33" s="236">
        <f t="shared" si="3"/>
        <v>39201291.384586543</v>
      </c>
      <c r="D33" s="236">
        <f t="shared" si="0"/>
        <v>11440000</v>
      </c>
      <c r="E33" s="236">
        <f t="shared" si="4"/>
        <v>8010000</v>
      </c>
      <c r="F33" s="237">
        <f>Calculator!$E$14</f>
        <v>0.45</v>
      </c>
    </row>
    <row r="34" spans="1:6">
      <c r="A34" s="231">
        <f t="shared" si="1"/>
        <v>29</v>
      </c>
      <c r="B34" s="231">
        <f t="shared" si="5"/>
        <v>2040</v>
      </c>
      <c r="C34" s="236">
        <f t="shared" si="3"/>
        <v>41161355.95381587</v>
      </c>
      <c r="D34" s="236">
        <f t="shared" si="0"/>
        <v>11780000</v>
      </c>
      <c r="E34" s="236">
        <f t="shared" si="4"/>
        <v>8250000</v>
      </c>
      <c r="F34" s="237">
        <f>Calculator!$E$14</f>
        <v>0.45</v>
      </c>
    </row>
    <row r="35" spans="1:6">
      <c r="A35" s="238">
        <f t="shared" si="1"/>
        <v>30</v>
      </c>
      <c r="B35" s="238">
        <f t="shared" si="5"/>
        <v>2041</v>
      </c>
      <c r="C35" s="239">
        <f t="shared" si="3"/>
        <v>43219423.751506664</v>
      </c>
      <c r="D35" s="239">
        <f t="shared" si="0"/>
        <v>12140000</v>
      </c>
      <c r="E35" s="239">
        <f t="shared" si="4"/>
        <v>8500000</v>
      </c>
      <c r="F35" s="240">
        <f>Calculator!$E$14</f>
        <v>0.45</v>
      </c>
    </row>
    <row r="36" spans="1:6">
      <c r="A36" s="231">
        <f t="shared" si="1"/>
        <v>31</v>
      </c>
      <c r="B36" s="231">
        <f t="shared" si="5"/>
        <v>2042</v>
      </c>
      <c r="C36" s="236">
        <f t="shared" si="3"/>
        <v>45380394.939081997</v>
      </c>
      <c r="D36" s="236">
        <f t="shared" si="0"/>
        <v>12500000</v>
      </c>
      <c r="E36" s="236">
        <f t="shared" si="4"/>
        <v>8750000</v>
      </c>
      <c r="F36" s="237">
        <f>Calculator!$E$14</f>
        <v>0.45</v>
      </c>
    </row>
    <row r="37" spans="1:6">
      <c r="A37" s="231">
        <f t="shared" si="1"/>
        <v>32</v>
      </c>
      <c r="B37" s="231">
        <f t="shared" si="5"/>
        <v>2043</v>
      </c>
      <c r="C37" s="236">
        <f t="shared" si="3"/>
        <v>47649414.686036095</v>
      </c>
      <c r="D37" s="236">
        <f t="shared" si="0"/>
        <v>12880000</v>
      </c>
      <c r="E37" s="236">
        <f t="shared" si="4"/>
        <v>9010000</v>
      </c>
      <c r="F37" s="237">
        <f>Calculator!$E$14</f>
        <v>0.45</v>
      </c>
    </row>
    <row r="38" spans="1:6">
      <c r="A38" s="231">
        <f t="shared" si="1"/>
        <v>33</v>
      </c>
      <c r="B38" s="231">
        <f t="shared" si="5"/>
        <v>2044</v>
      </c>
      <c r="C38" s="236">
        <f t="shared" si="3"/>
        <v>50031885.420337901</v>
      </c>
      <c r="D38" s="236">
        <f t="shared" si="0"/>
        <v>13260000</v>
      </c>
      <c r="E38" s="236">
        <f t="shared" si="4"/>
        <v>9280000</v>
      </c>
      <c r="F38" s="237">
        <f>Calculator!$E$14</f>
        <v>0.45</v>
      </c>
    </row>
    <row r="39" spans="1:6">
      <c r="A39" s="231">
        <f t="shared" si="1"/>
        <v>34</v>
      </c>
      <c r="B39" s="231">
        <f t="shared" si="5"/>
        <v>2045</v>
      </c>
      <c r="C39" s="236">
        <f t="shared" si="3"/>
        <v>52533479.691354796</v>
      </c>
      <c r="D39" s="236">
        <f t="shared" si="0"/>
        <v>13660000</v>
      </c>
      <c r="E39" s="236">
        <f t="shared" si="4"/>
        <v>9560000</v>
      </c>
      <c r="F39" s="237">
        <f>Calculator!$E$14</f>
        <v>0.45</v>
      </c>
    </row>
    <row r="40" spans="1:6">
      <c r="A40" s="238">
        <f t="shared" si="1"/>
        <v>35</v>
      </c>
      <c r="B40" s="238">
        <f t="shared" si="5"/>
        <v>2046</v>
      </c>
      <c r="C40" s="239">
        <f t="shared" si="3"/>
        <v>55160153.675922535</v>
      </c>
      <c r="D40" s="239">
        <f t="shared" si="0"/>
        <v>14070000</v>
      </c>
      <c r="E40" s="239">
        <f t="shared" si="4"/>
        <v>9850000</v>
      </c>
      <c r="F40" s="240">
        <f>Calculator!$E$14</f>
        <v>0.45</v>
      </c>
    </row>
    <row r="41" spans="1:6">
      <c r="A41" s="231">
        <f t="shared" si="1"/>
        <v>36</v>
      </c>
      <c r="B41" s="231">
        <f t="shared" si="5"/>
        <v>2047</v>
      </c>
      <c r="C41" s="236">
        <f t="shared" si="3"/>
        <v>57918161.359718665</v>
      </c>
      <c r="D41" s="236">
        <f t="shared" si="0"/>
        <v>14490000</v>
      </c>
      <c r="E41" s="236">
        <f t="shared" si="4"/>
        <v>10140000</v>
      </c>
      <c r="F41" s="237">
        <f>Calculator!$E$14</f>
        <v>0.45</v>
      </c>
    </row>
    <row r="42" spans="1:6">
      <c r="A42" s="231">
        <f t="shared" si="1"/>
        <v>37</v>
      </c>
      <c r="B42" s="231">
        <f t="shared" si="5"/>
        <v>2048</v>
      </c>
      <c r="C42" s="236">
        <f t="shared" si="3"/>
        <v>60814069.427704602</v>
      </c>
      <c r="D42" s="236">
        <f t="shared" si="0"/>
        <v>14930000</v>
      </c>
      <c r="E42" s="236">
        <f t="shared" si="4"/>
        <v>10450000</v>
      </c>
      <c r="F42" s="237">
        <f>Calculator!$E$14</f>
        <v>0.45</v>
      </c>
    </row>
    <row r="43" spans="1:6">
      <c r="A43" s="231">
        <f t="shared" si="1"/>
        <v>38</v>
      </c>
      <c r="B43" s="231">
        <f t="shared" si="5"/>
        <v>2049</v>
      </c>
      <c r="C43" s="236">
        <f t="shared" si="3"/>
        <v>63854772.899089836</v>
      </c>
      <c r="D43" s="236">
        <f t="shared" si="0"/>
        <v>15370000</v>
      </c>
      <c r="E43" s="236">
        <f t="shared" si="4"/>
        <v>10760000</v>
      </c>
      <c r="F43" s="237">
        <f>Calculator!$E$14</f>
        <v>0.45</v>
      </c>
    </row>
    <row r="44" spans="1:6">
      <c r="A44" s="231">
        <f t="shared" si="1"/>
        <v>39</v>
      </c>
      <c r="B44" s="231">
        <f t="shared" si="5"/>
        <v>2050</v>
      </c>
      <c r="C44" s="236">
        <f t="shared" si="3"/>
        <v>67047511.544044331</v>
      </c>
      <c r="D44" s="236">
        <f t="shared" si="0"/>
        <v>15840000</v>
      </c>
      <c r="E44" s="236">
        <f t="shared" si="4"/>
        <v>11080000</v>
      </c>
      <c r="F44" s="237">
        <f>Calculator!$E$14</f>
        <v>0.45</v>
      </c>
    </row>
    <row r="45" spans="1:6">
      <c r="A45" s="238">
        <f t="shared" si="1"/>
        <v>40</v>
      </c>
      <c r="B45" s="238">
        <f t="shared" si="5"/>
        <v>2051</v>
      </c>
      <c r="C45" s="239">
        <f t="shared" si="3"/>
        <v>70399887.121246547</v>
      </c>
      <c r="D45" s="239">
        <f t="shared" si="0"/>
        <v>16310000</v>
      </c>
      <c r="E45" s="239">
        <f t="shared" si="4"/>
        <v>11420000</v>
      </c>
      <c r="F45" s="240">
        <f>Calculator!$E$14</f>
        <v>0.45</v>
      </c>
    </row>
    <row r="46" spans="1:6">
      <c r="A46" s="231">
        <f t="shared" si="1"/>
        <v>41</v>
      </c>
      <c r="B46" s="231">
        <f t="shared" si="5"/>
        <v>2052</v>
      </c>
      <c r="C46" s="236">
        <f t="shared" si="3"/>
        <v>73919881.477308884</v>
      </c>
      <c r="D46" s="236">
        <f t="shared" si="0"/>
        <v>16800000</v>
      </c>
      <c r="E46" s="236">
        <f t="shared" si="4"/>
        <v>11760000</v>
      </c>
      <c r="F46" s="237">
        <f>Calculator!$E$14</f>
        <v>0.45</v>
      </c>
    </row>
    <row r="47" spans="1:6">
      <c r="A47" s="231">
        <f t="shared" si="1"/>
        <v>42</v>
      </c>
      <c r="B47" s="231">
        <f t="shared" si="5"/>
        <v>2053</v>
      </c>
      <c r="C47" s="236">
        <f t="shared" si="3"/>
        <v>77615875.551174328</v>
      </c>
      <c r="D47" s="236">
        <f t="shared" si="0"/>
        <v>17300000</v>
      </c>
      <c r="E47" s="236">
        <f t="shared" si="4"/>
        <v>12110000</v>
      </c>
      <c r="F47" s="237">
        <f>Calculator!$E$14</f>
        <v>0.45</v>
      </c>
    </row>
    <row r="48" spans="1:6">
      <c r="A48" s="231">
        <f t="shared" si="1"/>
        <v>43</v>
      </c>
      <c r="B48" s="231">
        <f t="shared" si="5"/>
        <v>2054</v>
      </c>
      <c r="C48" s="236">
        <f t="shared" si="3"/>
        <v>81496669.328733042</v>
      </c>
      <c r="D48" s="236">
        <f t="shared" si="0"/>
        <v>17820000</v>
      </c>
      <c r="E48" s="236">
        <f t="shared" si="4"/>
        <v>12480000</v>
      </c>
      <c r="F48" s="237">
        <f>Calculator!$E$14</f>
        <v>0.45</v>
      </c>
    </row>
    <row r="49" spans="1:6">
      <c r="A49" s="231">
        <f t="shared" si="1"/>
        <v>44</v>
      </c>
      <c r="B49" s="231">
        <f t="shared" si="5"/>
        <v>2055</v>
      </c>
      <c r="C49" s="236">
        <f t="shared" si="3"/>
        <v>85571502.795169696</v>
      </c>
      <c r="D49" s="236">
        <f t="shared" si="0"/>
        <v>18360000</v>
      </c>
      <c r="E49" s="236">
        <f t="shared" si="4"/>
        <v>12850000</v>
      </c>
      <c r="F49" s="237">
        <f>Calculator!$E$14</f>
        <v>0.45</v>
      </c>
    </row>
    <row r="50" spans="1:6">
      <c r="A50" s="231">
        <f t="shared" si="1"/>
        <v>45</v>
      </c>
      <c r="B50" s="231">
        <f t="shared" si="5"/>
        <v>2056</v>
      </c>
      <c r="C50" s="236">
        <f t="shared" si="3"/>
        <v>89850077.934928179</v>
      </c>
      <c r="D50" s="236">
        <f t="shared" si="0"/>
        <v>18910000</v>
      </c>
      <c r="E50" s="236">
        <f t="shared" si="4"/>
        <v>13240000</v>
      </c>
      <c r="F50" s="237">
        <f>Calculator!$E$14</f>
        <v>0.45</v>
      </c>
    </row>
    <row r="51" spans="1:6">
      <c r="C51" s="18"/>
      <c r="E51" s="19"/>
      <c r="F51" s="16"/>
    </row>
  </sheetData>
  <sheetProtection password="D977" sheet="1" objects="1" scenarios="1" selectLockedCells="1" selectUnlockedCells="1"/>
  <mergeCells count="1">
    <mergeCell ref="D2:E2"/>
  </mergeCells>
  <printOptions horizontalCentered="1" verticalCentered="1"/>
  <pageMargins left="0.7" right="0.7" top="0.75" bottom="0.5" header="0.3" footer="0.3"/>
  <pageSetup orientation="portrait"/>
  <headerFooter>
    <oddFooter>&amp;C&amp;"Gill Sans,Regular"&amp;6Supplemental Page</oddFooter>
  </headerFooter>
  <ignoredErrors>
    <ignoredError sqref="D5" unlockedFormula="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A38" sqref="A38"/>
    </sheetView>
  </sheetViews>
  <sheetFormatPr baseColWidth="10" defaultColWidth="8.7109375" defaultRowHeight="15" x14ac:dyDescent="0"/>
  <sheetData>
    <row r="1" spans="1:6">
      <c r="A1" s="119" t="s">
        <v>281</v>
      </c>
      <c r="B1" s="117"/>
      <c r="C1" s="117"/>
      <c r="D1" s="117"/>
      <c r="E1" s="117"/>
      <c r="F1" s="118"/>
    </row>
    <row r="2" spans="1:6" ht="26.25" customHeight="1">
      <c r="A2" s="133" t="s">
        <v>236</v>
      </c>
      <c r="B2" s="134" t="s">
        <v>237</v>
      </c>
      <c r="C2" s="147" t="s">
        <v>228</v>
      </c>
      <c r="D2" s="147" t="s">
        <v>229</v>
      </c>
      <c r="E2" s="147" t="s">
        <v>223</v>
      </c>
      <c r="F2" s="132" t="s">
        <v>224</v>
      </c>
    </row>
    <row r="3" spans="1:6">
      <c r="A3" s="143">
        <v>0</v>
      </c>
      <c r="B3" s="141">
        <v>10000</v>
      </c>
      <c r="C3" s="141">
        <v>0</v>
      </c>
      <c r="D3" s="130">
        <v>5.0000000000000001E-3</v>
      </c>
      <c r="E3" s="141">
        <v>0</v>
      </c>
      <c r="F3" s="121">
        <v>0.01</v>
      </c>
    </row>
    <row r="4" spans="1:6">
      <c r="A4" s="143">
        <v>10000</v>
      </c>
      <c r="B4" s="141">
        <v>20000</v>
      </c>
      <c r="C4" s="141">
        <v>50</v>
      </c>
      <c r="D4" s="120">
        <v>0.01</v>
      </c>
      <c r="E4" s="141">
        <v>100</v>
      </c>
      <c r="F4" s="121">
        <v>0.02</v>
      </c>
    </row>
    <row r="5" spans="1:6">
      <c r="A5" s="143">
        <v>20000</v>
      </c>
      <c r="B5" s="141">
        <v>40000</v>
      </c>
      <c r="C5" s="141">
        <v>150</v>
      </c>
      <c r="D5" s="130">
        <v>1.4999999999999999E-2</v>
      </c>
      <c r="E5" s="141">
        <v>300</v>
      </c>
      <c r="F5" s="121">
        <v>0.03</v>
      </c>
    </row>
    <row r="6" spans="1:6">
      <c r="A6" s="143">
        <v>40000</v>
      </c>
      <c r="B6" s="141">
        <v>60000</v>
      </c>
      <c r="C6" s="141">
        <v>450</v>
      </c>
      <c r="D6" s="120">
        <v>0.02</v>
      </c>
      <c r="E6" s="141">
        <v>900</v>
      </c>
      <c r="F6" s="121">
        <v>0.04</v>
      </c>
    </row>
    <row r="7" spans="1:6">
      <c r="A7" s="143">
        <v>60000</v>
      </c>
      <c r="B7" s="141">
        <v>100000</v>
      </c>
      <c r="C7" s="141">
        <v>850</v>
      </c>
      <c r="D7" s="130">
        <v>2.5000000000000001E-2</v>
      </c>
      <c r="E7" s="141">
        <v>1700</v>
      </c>
      <c r="F7" s="121">
        <v>0.05</v>
      </c>
    </row>
    <row r="8" spans="1:6">
      <c r="A8" s="143">
        <v>100000</v>
      </c>
      <c r="B8" s="141">
        <v>250000</v>
      </c>
      <c r="C8" s="141">
        <v>1850</v>
      </c>
      <c r="D8" s="120">
        <v>0.03</v>
      </c>
      <c r="E8" s="141">
        <v>3700</v>
      </c>
      <c r="F8" s="121">
        <v>0.06</v>
      </c>
    </row>
    <row r="9" spans="1:6">
      <c r="A9" s="143">
        <v>250000</v>
      </c>
      <c r="B9" s="141">
        <v>500000</v>
      </c>
      <c r="C9" s="141">
        <v>6350</v>
      </c>
      <c r="D9" s="130">
        <v>6.5000000000000002E-2</v>
      </c>
      <c r="E9" s="141">
        <v>12700</v>
      </c>
      <c r="F9" s="121">
        <v>0.13</v>
      </c>
    </row>
    <row r="10" spans="1:6">
      <c r="A10" s="143">
        <v>500000</v>
      </c>
      <c r="B10" s="141">
        <v>750000</v>
      </c>
      <c r="C10" s="141">
        <v>22600</v>
      </c>
      <c r="D10" s="120">
        <v>7.0000000000000007E-2</v>
      </c>
      <c r="E10" s="141">
        <v>45200</v>
      </c>
      <c r="F10" s="121">
        <v>0.14000000000000001</v>
      </c>
    </row>
    <row r="11" spans="1:6">
      <c r="A11" s="143">
        <v>750000</v>
      </c>
      <c r="B11" s="141">
        <v>1000000</v>
      </c>
      <c r="C11" s="141">
        <v>40100</v>
      </c>
      <c r="D11" s="130">
        <v>7.4999999999999997E-2</v>
      </c>
      <c r="E11" s="141">
        <v>80200</v>
      </c>
      <c r="F11" s="121">
        <v>0.14000000000000001</v>
      </c>
    </row>
    <row r="12" spans="1:6">
      <c r="A12" s="143">
        <v>1000000</v>
      </c>
      <c r="B12" s="141">
        <v>3000000</v>
      </c>
      <c r="C12" s="141">
        <v>58850</v>
      </c>
      <c r="D12" s="120">
        <v>0.08</v>
      </c>
      <c r="E12" s="141">
        <v>115200</v>
      </c>
      <c r="F12" s="121">
        <v>0.15</v>
      </c>
    </row>
    <row r="13" spans="1:6">
      <c r="A13" s="143">
        <v>3000000</v>
      </c>
      <c r="B13" s="141">
        <v>5000000</v>
      </c>
      <c r="C13" s="141">
        <v>218850</v>
      </c>
      <c r="D13" s="130">
        <v>8.5000000000000006E-2</v>
      </c>
      <c r="E13" s="141">
        <v>415200</v>
      </c>
      <c r="F13" s="121">
        <v>0.15</v>
      </c>
    </row>
    <row r="14" spans="1:6">
      <c r="A14" s="143">
        <v>5000000</v>
      </c>
      <c r="B14" s="141">
        <v>10000000</v>
      </c>
      <c r="C14" s="141">
        <v>388850</v>
      </c>
      <c r="D14" s="120">
        <v>0.09</v>
      </c>
      <c r="E14" s="141">
        <v>715200</v>
      </c>
      <c r="F14" s="121">
        <v>0.15</v>
      </c>
    </row>
    <row r="15" spans="1:6">
      <c r="A15" s="144">
        <v>10000000</v>
      </c>
      <c r="B15" s="142" t="s">
        <v>242</v>
      </c>
      <c r="C15" s="142">
        <v>838850</v>
      </c>
      <c r="D15" s="122">
        <v>0.1</v>
      </c>
      <c r="E15" s="142">
        <v>1465200</v>
      </c>
      <c r="F15" s="125">
        <v>0.15</v>
      </c>
    </row>
    <row r="17" spans="1:4">
      <c r="A17" s="119" t="s">
        <v>282</v>
      </c>
      <c r="B17" s="117"/>
      <c r="C17" s="117"/>
      <c r="D17" s="117"/>
    </row>
    <row r="18" spans="1:4">
      <c r="A18" s="133" t="s">
        <v>236</v>
      </c>
      <c r="B18" s="147" t="s">
        <v>237</v>
      </c>
      <c r="C18" s="146" t="s">
        <v>238</v>
      </c>
      <c r="D18" s="135"/>
    </row>
    <row r="19" spans="1:4">
      <c r="A19" s="143">
        <v>0</v>
      </c>
      <c r="B19" s="145">
        <v>100000</v>
      </c>
      <c r="C19" s="126">
        <v>0</v>
      </c>
      <c r="D19" s="127">
        <v>5.6000000000000001E-2</v>
      </c>
    </row>
    <row r="20" spans="1:4">
      <c r="A20" s="143">
        <v>100000</v>
      </c>
      <c r="B20" s="145">
        <v>500000</v>
      </c>
      <c r="C20" s="126">
        <v>5600</v>
      </c>
      <c r="D20" s="127">
        <v>6.4000000000000001E-2</v>
      </c>
    </row>
    <row r="21" spans="1:4">
      <c r="A21" s="143">
        <v>500000</v>
      </c>
      <c r="B21" s="145">
        <v>1000000</v>
      </c>
      <c r="C21" s="126">
        <v>31200</v>
      </c>
      <c r="D21" s="127">
        <v>7.1999999999999995E-2</v>
      </c>
    </row>
    <row r="22" spans="1:4">
      <c r="A22" s="143">
        <v>1000000</v>
      </c>
      <c r="B22" s="145">
        <v>1500000</v>
      </c>
      <c r="C22" s="126">
        <v>67200</v>
      </c>
      <c r="D22" s="127">
        <v>0.08</v>
      </c>
    </row>
    <row r="23" spans="1:4">
      <c r="A23" s="143">
        <v>1500000</v>
      </c>
      <c r="B23" s="145">
        <v>2000000</v>
      </c>
      <c r="C23" s="126">
        <v>107200</v>
      </c>
      <c r="D23" s="127">
        <v>8.7999999999999995E-2</v>
      </c>
    </row>
    <row r="24" spans="1:4">
      <c r="A24" s="143">
        <v>2000000</v>
      </c>
      <c r="B24" s="145">
        <v>2500000</v>
      </c>
      <c r="C24" s="126">
        <v>151200</v>
      </c>
      <c r="D24" s="127">
        <v>9.6000000000000002E-2</v>
      </c>
    </row>
    <row r="25" spans="1:4">
      <c r="A25" s="143">
        <v>2500000</v>
      </c>
      <c r="B25" s="145">
        <v>3000000</v>
      </c>
      <c r="C25" s="126">
        <v>199200</v>
      </c>
      <c r="D25" s="127">
        <v>0.104</v>
      </c>
    </row>
    <row r="26" spans="1:4">
      <c r="A26" s="143">
        <v>3000000</v>
      </c>
      <c r="B26" s="145">
        <v>3500000</v>
      </c>
      <c r="C26" s="126">
        <v>251200</v>
      </c>
      <c r="D26" s="127">
        <v>0.112</v>
      </c>
    </row>
    <row r="27" spans="1:4">
      <c r="A27" s="143">
        <v>3500000</v>
      </c>
      <c r="B27" s="145">
        <v>4000000</v>
      </c>
      <c r="C27" s="126">
        <v>307200</v>
      </c>
      <c r="D27" s="127">
        <v>0.12</v>
      </c>
    </row>
    <row r="28" spans="1:4">
      <c r="A28" s="143">
        <v>4000000</v>
      </c>
      <c r="B28" s="145">
        <v>5000000</v>
      </c>
      <c r="C28" s="126">
        <v>367200</v>
      </c>
      <c r="D28" s="127">
        <v>0.128</v>
      </c>
    </row>
    <row r="29" spans="1:4">
      <c r="A29" s="143">
        <v>5000000</v>
      </c>
      <c r="B29" s="145">
        <v>6000000</v>
      </c>
      <c r="C29" s="126">
        <v>495200</v>
      </c>
      <c r="D29" s="127">
        <v>0.13600000000000001</v>
      </c>
    </row>
    <row r="30" spans="1:4">
      <c r="A30" s="143">
        <v>6000000</v>
      </c>
      <c r="B30" s="145">
        <v>7000000</v>
      </c>
      <c r="C30" s="126">
        <v>631200</v>
      </c>
      <c r="D30" s="127">
        <v>0.14399999999999999</v>
      </c>
    </row>
    <row r="31" spans="1:4">
      <c r="A31" s="143">
        <v>7000000</v>
      </c>
      <c r="B31" s="145">
        <v>8000000</v>
      </c>
      <c r="C31" s="126">
        <v>775200</v>
      </c>
      <c r="D31" s="127">
        <v>0.152</v>
      </c>
    </row>
    <row r="32" spans="1:4">
      <c r="A32" s="143">
        <v>8000000</v>
      </c>
      <c r="B32" s="145">
        <v>9000000</v>
      </c>
      <c r="C32" s="126">
        <v>927200</v>
      </c>
      <c r="D32" s="127">
        <v>0.16</v>
      </c>
    </row>
    <row r="33" spans="1:4">
      <c r="A33" s="144">
        <v>9000000</v>
      </c>
      <c r="B33" s="142" t="s">
        <v>227</v>
      </c>
      <c r="C33" s="128">
        <v>1087200</v>
      </c>
      <c r="D33" s="129">
        <v>0.16800000000000001</v>
      </c>
    </row>
    <row r="37" spans="1:4">
      <c r="A37" s="299"/>
    </row>
    <row r="38" spans="1:4">
      <c r="A38" s="299"/>
    </row>
  </sheetData>
  <sheetProtection password="D977" sheet="1" objects="1" scenarios="1" selectLockedCells="1" selectUn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Title</vt:lpstr>
      <vt:lpstr>Calculator</vt:lpstr>
      <vt:lpstr>States</vt:lpstr>
      <vt:lpstr>State Details</vt:lpstr>
      <vt:lpstr>Fact Sheet</vt:lpstr>
      <vt:lpstr>Projections</vt:lpstr>
      <vt:lpstr>Old Tables</vt:lpstr>
    </vt:vector>
  </TitlesOfParts>
  <Company>Prudential Financial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X044507</dc:creator>
  <cp:lastModifiedBy>Steffi Shaw</cp:lastModifiedBy>
  <cp:lastPrinted>2011-05-20T22:22:05Z</cp:lastPrinted>
  <dcterms:created xsi:type="dcterms:W3CDTF">2010-12-27T17:27:29Z</dcterms:created>
  <dcterms:modified xsi:type="dcterms:W3CDTF">2015-11-05T20:28:21Z</dcterms:modified>
</cp:coreProperties>
</file>